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1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las Lightfoot\Documents\AWORK\FOSSFUEL\IPCC 2007\Energy &amp; Environment 2023\Whole picture paper\"/>
    </mc:Choice>
  </mc:AlternateContent>
  <xr:revisionPtr revIDLastSave="0" documentId="8_{7C3163EA-8500-45C8-B8AB-58F8038D818B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T vs Weight WV" sheetId="31" r:id="rId1"/>
    <sheet name="T vs WV " sheetId="30" r:id="rId2"/>
    <sheet name="T vs HumRat" sheetId="26" r:id="rId3"/>
    <sheet name="T vs HumRat (2)" sheetId="29" r:id="rId4"/>
    <sheet name="Temp vs Ent dry" sheetId="23" r:id="rId5"/>
    <sheet name="Temp vs Ent Wet" sheetId="24" r:id="rId6"/>
    <sheet name="T vs Spec Vol" sheetId="28" r:id="rId7"/>
    <sheet name="Grams CO2" sheetId="38" r:id="rId8"/>
    <sheet name="Temp vs WV Factor" sheetId="40" r:id="rId9"/>
    <sheet name="21st of month" sheetId="8" r:id="rId10"/>
    <sheet name="CO2 vs T All points" sheetId="37" r:id="rId11"/>
    <sheet name="CO2 vs T Arc Ant" sheetId="36" r:id="rId12"/>
    <sheet name="Sheet2" sheetId="39" r:id="rId13"/>
    <sheet name="Sheet1" sheetId="33" r:id="rId14"/>
  </sheets>
  <definedNames>
    <definedName name="_xlnm._FilterDatabase" localSheetId="9" hidden="1">'21st of month'!$AX$5:$BC$56</definedName>
    <definedName name="_xlnm.Print_Area" localSheetId="9">'21st of month'!$A$36:$K$57</definedName>
  </definedNames>
  <calcPr calcId="191029"/>
</workbook>
</file>

<file path=xl/calcChain.xml><?xml version="1.0" encoding="utf-8"?>
<calcChain xmlns="http://schemas.openxmlformats.org/spreadsheetml/2006/main">
  <c r="BO325" i="8" l="1"/>
  <c r="BL325" i="8"/>
  <c r="BM325" i="8" s="1"/>
  <c r="BN325" i="8" s="1"/>
  <c r="BP325" i="8" s="1"/>
  <c r="BQ325" i="8" s="1"/>
  <c r="BK325" i="8"/>
  <c r="BO324" i="8"/>
  <c r="BM324" i="8"/>
  <c r="BN324" i="8" s="1"/>
  <c r="BP324" i="8" s="1"/>
  <c r="BQ324" i="8" s="1"/>
  <c r="BL324" i="8"/>
  <c r="BK324" i="8"/>
  <c r="BO323" i="8"/>
  <c r="BL323" i="8"/>
  <c r="BK323" i="8"/>
  <c r="BM323" i="8" s="1"/>
  <c r="BN323" i="8" s="1"/>
  <c r="BP323" i="8" s="1"/>
  <c r="BQ323" i="8" s="1"/>
  <c r="BO322" i="8"/>
  <c r="BL322" i="8"/>
  <c r="BK322" i="8"/>
  <c r="BM322" i="8" s="1"/>
  <c r="BN322" i="8" s="1"/>
  <c r="BP322" i="8" s="1"/>
  <c r="BQ322" i="8" s="1"/>
  <c r="BO321" i="8"/>
  <c r="BL321" i="8"/>
  <c r="BK321" i="8"/>
  <c r="BM321" i="8" s="1"/>
  <c r="BN321" i="8" s="1"/>
  <c r="BP321" i="8" s="1"/>
  <c r="BQ321" i="8" s="1"/>
  <c r="BO320" i="8"/>
  <c r="BL320" i="8"/>
  <c r="BK320" i="8"/>
  <c r="BM320" i="8" s="1"/>
  <c r="BN320" i="8" s="1"/>
  <c r="BP320" i="8" s="1"/>
  <c r="BQ320" i="8" s="1"/>
  <c r="BO319" i="8"/>
  <c r="BL319" i="8"/>
  <c r="BM319" i="8" s="1"/>
  <c r="BN319" i="8" s="1"/>
  <c r="BP319" i="8" s="1"/>
  <c r="BQ319" i="8" s="1"/>
  <c r="BK319" i="8"/>
  <c r="BO318" i="8"/>
  <c r="BM318" i="8"/>
  <c r="BN318" i="8" s="1"/>
  <c r="BP318" i="8" s="1"/>
  <c r="BQ318" i="8" s="1"/>
  <c r="BL318" i="8"/>
  <c r="BK318" i="8"/>
  <c r="BO317" i="8"/>
  <c r="BL317" i="8"/>
  <c r="BK317" i="8"/>
  <c r="BM317" i="8" s="1"/>
  <c r="BN317" i="8" s="1"/>
  <c r="BP317" i="8" s="1"/>
  <c r="BQ317" i="8" s="1"/>
  <c r="BO316" i="8"/>
  <c r="BL316" i="8"/>
  <c r="BK316" i="8"/>
  <c r="BM316" i="8" s="1"/>
  <c r="BN316" i="8" s="1"/>
  <c r="BP316" i="8" s="1"/>
  <c r="BQ316" i="8" s="1"/>
  <c r="BO315" i="8"/>
  <c r="BL315" i="8"/>
  <c r="BK315" i="8"/>
  <c r="BM315" i="8" s="1"/>
  <c r="BN315" i="8" s="1"/>
  <c r="BP315" i="8" s="1"/>
  <c r="BQ315" i="8" s="1"/>
  <c r="BO314" i="8"/>
  <c r="BL314" i="8"/>
  <c r="BK314" i="8"/>
  <c r="BM314" i="8" s="1"/>
  <c r="BN314" i="8" s="1"/>
  <c r="BP314" i="8" s="1"/>
  <c r="BQ314" i="8" s="1"/>
  <c r="BO313" i="8"/>
  <c r="BL313" i="8"/>
  <c r="BM313" i="8" s="1"/>
  <c r="BN313" i="8" s="1"/>
  <c r="BP313" i="8" s="1"/>
  <c r="BQ313" i="8" s="1"/>
  <c r="BK313" i="8"/>
  <c r="BO312" i="8"/>
  <c r="BM312" i="8"/>
  <c r="BN312" i="8" s="1"/>
  <c r="BP312" i="8" s="1"/>
  <c r="BQ312" i="8" s="1"/>
  <c r="BL312" i="8"/>
  <c r="BK312" i="8"/>
  <c r="BO311" i="8"/>
  <c r="BL311" i="8"/>
  <c r="BK311" i="8"/>
  <c r="BM311" i="8" s="1"/>
  <c r="BN311" i="8" s="1"/>
  <c r="BP311" i="8" s="1"/>
  <c r="BQ311" i="8" s="1"/>
  <c r="BO310" i="8"/>
  <c r="BL310" i="8"/>
  <c r="BK310" i="8"/>
  <c r="BM310" i="8" s="1"/>
  <c r="BN310" i="8" s="1"/>
  <c r="BP310" i="8" s="1"/>
  <c r="BQ310" i="8" s="1"/>
  <c r="BO309" i="8"/>
  <c r="BL309" i="8"/>
  <c r="BK309" i="8"/>
  <c r="BM309" i="8" s="1"/>
  <c r="BN309" i="8" s="1"/>
  <c r="BP309" i="8" s="1"/>
  <c r="BQ309" i="8" s="1"/>
  <c r="BO308" i="8"/>
  <c r="BL308" i="8"/>
  <c r="BK308" i="8"/>
  <c r="BM308" i="8" s="1"/>
  <c r="BN308" i="8" s="1"/>
  <c r="BP308" i="8" s="1"/>
  <c r="BQ308" i="8" s="1"/>
  <c r="BO307" i="8"/>
  <c r="BL307" i="8"/>
  <c r="BM307" i="8" s="1"/>
  <c r="BN307" i="8" s="1"/>
  <c r="BP307" i="8" s="1"/>
  <c r="BQ307" i="8" s="1"/>
  <c r="BK307" i="8"/>
  <c r="BO298" i="8"/>
  <c r="BL298" i="8"/>
  <c r="BK298" i="8"/>
  <c r="BM298" i="8" s="1"/>
  <c r="BN298" i="8" s="1"/>
  <c r="BP298" i="8" s="1"/>
  <c r="BQ298" i="8" s="1"/>
  <c r="BO297" i="8"/>
  <c r="BM297" i="8"/>
  <c r="BN297" i="8" s="1"/>
  <c r="BP297" i="8" s="1"/>
  <c r="BQ297" i="8" s="1"/>
  <c r="BL297" i="8"/>
  <c r="BK297" i="8"/>
  <c r="BO296" i="8"/>
  <c r="BN296" i="8"/>
  <c r="BP296" i="8" s="1"/>
  <c r="BQ296" i="8" s="1"/>
  <c r="BM296" i="8"/>
  <c r="BL296" i="8"/>
  <c r="BK296" i="8"/>
  <c r="BO295" i="8"/>
  <c r="BL295" i="8"/>
  <c r="BK295" i="8"/>
  <c r="BM295" i="8" s="1"/>
  <c r="BN295" i="8" s="1"/>
  <c r="BP295" i="8" s="1"/>
  <c r="BQ295" i="8" s="1"/>
  <c r="BO294" i="8"/>
  <c r="BL294" i="8"/>
  <c r="BM294" i="8" s="1"/>
  <c r="BN294" i="8" s="1"/>
  <c r="BP294" i="8" s="1"/>
  <c r="BQ294" i="8" s="1"/>
  <c r="BK294" i="8"/>
  <c r="BO293" i="8"/>
  <c r="BL293" i="8"/>
  <c r="BK293" i="8"/>
  <c r="BM293" i="8" s="1"/>
  <c r="BN293" i="8" s="1"/>
  <c r="BP293" i="8" s="1"/>
  <c r="BQ293" i="8" s="1"/>
  <c r="BO292" i="8"/>
  <c r="BL292" i="8"/>
  <c r="BK292" i="8"/>
  <c r="BM292" i="8" s="1"/>
  <c r="BN292" i="8" s="1"/>
  <c r="BP292" i="8" s="1"/>
  <c r="BQ292" i="8" s="1"/>
  <c r="BO291" i="8"/>
  <c r="BM291" i="8"/>
  <c r="BN291" i="8" s="1"/>
  <c r="BP291" i="8" s="1"/>
  <c r="BQ291" i="8" s="1"/>
  <c r="BL291" i="8"/>
  <c r="BK291" i="8"/>
  <c r="BO290" i="8"/>
  <c r="BN290" i="8"/>
  <c r="BP290" i="8" s="1"/>
  <c r="BQ290" i="8" s="1"/>
  <c r="BM290" i="8"/>
  <c r="BL290" i="8"/>
  <c r="BK290" i="8"/>
  <c r="BO289" i="8"/>
  <c r="BL289" i="8"/>
  <c r="BK289" i="8"/>
  <c r="BM289" i="8" s="1"/>
  <c r="BN289" i="8" s="1"/>
  <c r="BP289" i="8" s="1"/>
  <c r="BQ289" i="8" s="1"/>
  <c r="BO288" i="8"/>
  <c r="BL288" i="8"/>
  <c r="BM288" i="8" s="1"/>
  <c r="BN288" i="8" s="1"/>
  <c r="BP288" i="8" s="1"/>
  <c r="BQ288" i="8" s="1"/>
  <c r="BK288" i="8"/>
  <c r="BO287" i="8"/>
  <c r="BL287" i="8"/>
  <c r="BK287" i="8"/>
  <c r="BM287" i="8" s="1"/>
  <c r="BN287" i="8" s="1"/>
  <c r="BP287" i="8" s="1"/>
  <c r="BQ287" i="8" s="1"/>
  <c r="BO286" i="8"/>
  <c r="BL286" i="8"/>
  <c r="BK286" i="8"/>
  <c r="BM286" i="8" s="1"/>
  <c r="BN286" i="8" s="1"/>
  <c r="BP286" i="8" s="1"/>
  <c r="BQ286" i="8" s="1"/>
  <c r="BO285" i="8"/>
  <c r="BM285" i="8"/>
  <c r="BN285" i="8" s="1"/>
  <c r="BP285" i="8" s="1"/>
  <c r="BQ285" i="8" s="1"/>
  <c r="BL285" i="8"/>
  <c r="BK285" i="8"/>
  <c r="BO284" i="8"/>
  <c r="BN284" i="8"/>
  <c r="BP284" i="8" s="1"/>
  <c r="BQ284" i="8" s="1"/>
  <c r="BM284" i="8"/>
  <c r="BL284" i="8"/>
  <c r="BK284" i="8"/>
  <c r="BO283" i="8"/>
  <c r="BL283" i="8"/>
  <c r="BK283" i="8"/>
  <c r="BM283" i="8" s="1"/>
  <c r="BN283" i="8" s="1"/>
  <c r="BP283" i="8" s="1"/>
  <c r="BQ283" i="8" s="1"/>
  <c r="BO282" i="8"/>
  <c r="BL282" i="8"/>
  <c r="BM282" i="8" s="1"/>
  <c r="BN282" i="8" s="1"/>
  <c r="BP282" i="8" s="1"/>
  <c r="BQ282" i="8" s="1"/>
  <c r="BK282" i="8"/>
  <c r="BO281" i="8"/>
  <c r="BL281" i="8"/>
  <c r="BK281" i="8"/>
  <c r="BM281" i="8" s="1"/>
  <c r="BN281" i="8" s="1"/>
  <c r="BP281" i="8" s="1"/>
  <c r="BQ281" i="8" s="1"/>
  <c r="BO280" i="8"/>
  <c r="BL280" i="8"/>
  <c r="BK280" i="8"/>
  <c r="BM280" i="8" s="1"/>
  <c r="BN280" i="8" s="1"/>
  <c r="BP280" i="8" s="1"/>
  <c r="BQ280" i="8" s="1"/>
  <c r="BO271" i="8"/>
  <c r="BL271" i="8"/>
  <c r="BM271" i="8" s="1"/>
  <c r="BN271" i="8" s="1"/>
  <c r="BP271" i="8" s="1"/>
  <c r="BQ271" i="8" s="1"/>
  <c r="BK271" i="8"/>
  <c r="BO270" i="8"/>
  <c r="BM270" i="8"/>
  <c r="BN270" i="8" s="1"/>
  <c r="BP270" i="8" s="1"/>
  <c r="BQ270" i="8" s="1"/>
  <c r="BL270" i="8"/>
  <c r="BK270" i="8"/>
  <c r="BO269" i="8"/>
  <c r="BN269" i="8"/>
  <c r="BP269" i="8" s="1"/>
  <c r="BQ269" i="8" s="1"/>
  <c r="BM269" i="8"/>
  <c r="BL269" i="8"/>
  <c r="BK269" i="8"/>
  <c r="BO268" i="8"/>
  <c r="BL268" i="8"/>
  <c r="BK268" i="8"/>
  <c r="BM268" i="8" s="1"/>
  <c r="BN268" i="8" s="1"/>
  <c r="BP268" i="8" s="1"/>
  <c r="BQ268" i="8" s="1"/>
  <c r="BO267" i="8"/>
  <c r="BL267" i="8"/>
  <c r="BK267" i="8"/>
  <c r="BM267" i="8" s="1"/>
  <c r="BN267" i="8" s="1"/>
  <c r="BP267" i="8" s="1"/>
  <c r="BQ267" i="8" s="1"/>
  <c r="BO266" i="8"/>
  <c r="BL266" i="8"/>
  <c r="BK266" i="8"/>
  <c r="BM266" i="8" s="1"/>
  <c r="BN266" i="8" s="1"/>
  <c r="BP266" i="8" s="1"/>
  <c r="BQ266" i="8" s="1"/>
  <c r="BO265" i="8"/>
  <c r="BL265" i="8"/>
  <c r="BM265" i="8" s="1"/>
  <c r="BN265" i="8" s="1"/>
  <c r="BP265" i="8" s="1"/>
  <c r="BQ265" i="8" s="1"/>
  <c r="BK265" i="8"/>
  <c r="BO264" i="8"/>
  <c r="BM264" i="8"/>
  <c r="BN264" i="8" s="1"/>
  <c r="BP264" i="8" s="1"/>
  <c r="BQ264" i="8" s="1"/>
  <c r="BL264" i="8"/>
  <c r="BK264" i="8"/>
  <c r="BO263" i="8"/>
  <c r="BN263" i="8"/>
  <c r="BP263" i="8" s="1"/>
  <c r="BQ263" i="8" s="1"/>
  <c r="BM263" i="8"/>
  <c r="BL263" i="8"/>
  <c r="BK263" i="8"/>
  <c r="BO262" i="8"/>
  <c r="BL262" i="8"/>
  <c r="BK262" i="8"/>
  <c r="BM262" i="8" s="1"/>
  <c r="BN262" i="8" s="1"/>
  <c r="BP262" i="8" s="1"/>
  <c r="BQ262" i="8" s="1"/>
  <c r="BO261" i="8"/>
  <c r="BL261" i="8"/>
  <c r="BK261" i="8"/>
  <c r="BM261" i="8" s="1"/>
  <c r="BN261" i="8" s="1"/>
  <c r="BP261" i="8" s="1"/>
  <c r="BQ261" i="8" s="1"/>
  <c r="BO260" i="8"/>
  <c r="BL260" i="8"/>
  <c r="BK260" i="8"/>
  <c r="BM260" i="8" s="1"/>
  <c r="BN260" i="8" s="1"/>
  <c r="BP260" i="8" s="1"/>
  <c r="BQ260" i="8" s="1"/>
  <c r="BO259" i="8"/>
  <c r="BL259" i="8"/>
  <c r="BM259" i="8" s="1"/>
  <c r="BN259" i="8" s="1"/>
  <c r="BP259" i="8" s="1"/>
  <c r="BQ259" i="8" s="1"/>
  <c r="BK259" i="8"/>
  <c r="BO258" i="8"/>
  <c r="BM258" i="8"/>
  <c r="BN258" i="8" s="1"/>
  <c r="BP258" i="8" s="1"/>
  <c r="BQ258" i="8" s="1"/>
  <c r="BL258" i="8"/>
  <c r="BK258" i="8"/>
  <c r="BO257" i="8"/>
  <c r="BN257" i="8"/>
  <c r="BP257" i="8" s="1"/>
  <c r="BQ257" i="8" s="1"/>
  <c r="BM257" i="8"/>
  <c r="BL257" i="8"/>
  <c r="BK257" i="8"/>
  <c r="BO256" i="8"/>
  <c r="BL256" i="8"/>
  <c r="BM256" i="8" s="1"/>
  <c r="BN256" i="8" s="1"/>
  <c r="BP256" i="8" s="1"/>
  <c r="BQ256" i="8" s="1"/>
  <c r="BK256" i="8"/>
  <c r="BO255" i="8"/>
  <c r="BL255" i="8"/>
  <c r="BK255" i="8"/>
  <c r="BM255" i="8" s="1"/>
  <c r="BN255" i="8" s="1"/>
  <c r="BP255" i="8" s="1"/>
  <c r="BQ255" i="8" s="1"/>
  <c r="BO254" i="8"/>
  <c r="BL254" i="8"/>
  <c r="BK254" i="8"/>
  <c r="BM254" i="8" s="1"/>
  <c r="BN254" i="8" s="1"/>
  <c r="BP254" i="8" s="1"/>
  <c r="BQ254" i="8" s="1"/>
  <c r="BO253" i="8"/>
  <c r="BL253" i="8"/>
  <c r="BM253" i="8" s="1"/>
  <c r="BN253" i="8" s="1"/>
  <c r="BP253" i="8" s="1"/>
  <c r="BQ253" i="8" s="1"/>
  <c r="BK253" i="8"/>
  <c r="BO244" i="8"/>
  <c r="BL244" i="8"/>
  <c r="BM244" i="8" s="1"/>
  <c r="BN244" i="8" s="1"/>
  <c r="BP244" i="8" s="1"/>
  <c r="BQ244" i="8" s="1"/>
  <c r="BK244" i="8"/>
  <c r="BO243" i="8"/>
  <c r="BM243" i="8"/>
  <c r="BN243" i="8" s="1"/>
  <c r="BP243" i="8" s="1"/>
  <c r="BQ243" i="8" s="1"/>
  <c r="BL243" i="8"/>
  <c r="BK243" i="8"/>
  <c r="BO242" i="8"/>
  <c r="BL242" i="8"/>
  <c r="BK242" i="8"/>
  <c r="BM242" i="8" s="1"/>
  <c r="BN242" i="8" s="1"/>
  <c r="BP242" i="8" s="1"/>
  <c r="BQ242" i="8" s="1"/>
  <c r="BO241" i="8"/>
  <c r="BL241" i="8"/>
  <c r="BK241" i="8"/>
  <c r="BM241" i="8" s="1"/>
  <c r="BN241" i="8" s="1"/>
  <c r="BP241" i="8" s="1"/>
  <c r="BQ241" i="8" s="1"/>
  <c r="BO240" i="8"/>
  <c r="BL240" i="8"/>
  <c r="BK240" i="8"/>
  <c r="BM240" i="8" s="1"/>
  <c r="BN240" i="8" s="1"/>
  <c r="BP240" i="8" s="1"/>
  <c r="BQ240" i="8" s="1"/>
  <c r="BO239" i="8"/>
  <c r="BL239" i="8"/>
  <c r="BK239" i="8"/>
  <c r="BM239" i="8" s="1"/>
  <c r="BN239" i="8" s="1"/>
  <c r="BP239" i="8" s="1"/>
  <c r="BQ239" i="8" s="1"/>
  <c r="BO238" i="8"/>
  <c r="BL238" i="8"/>
  <c r="BM238" i="8" s="1"/>
  <c r="BN238" i="8" s="1"/>
  <c r="BP238" i="8" s="1"/>
  <c r="BQ238" i="8" s="1"/>
  <c r="BK238" i="8"/>
  <c r="BO237" i="8"/>
  <c r="BM237" i="8"/>
  <c r="BN237" i="8" s="1"/>
  <c r="BP237" i="8" s="1"/>
  <c r="BQ237" i="8" s="1"/>
  <c r="BL237" i="8"/>
  <c r="BK237" i="8"/>
  <c r="BO236" i="8"/>
  <c r="BL236" i="8"/>
  <c r="BK236" i="8"/>
  <c r="BM236" i="8" s="1"/>
  <c r="BN236" i="8" s="1"/>
  <c r="BP236" i="8" s="1"/>
  <c r="BQ236" i="8" s="1"/>
  <c r="BO235" i="8"/>
  <c r="BL235" i="8"/>
  <c r="BK235" i="8"/>
  <c r="BM235" i="8" s="1"/>
  <c r="BN235" i="8" s="1"/>
  <c r="BP235" i="8" s="1"/>
  <c r="BQ235" i="8" s="1"/>
  <c r="BO234" i="8"/>
  <c r="BL234" i="8"/>
  <c r="BK234" i="8"/>
  <c r="BM234" i="8" s="1"/>
  <c r="BN234" i="8" s="1"/>
  <c r="BP234" i="8" s="1"/>
  <c r="BQ234" i="8" s="1"/>
  <c r="BO233" i="8"/>
  <c r="BL233" i="8"/>
  <c r="BK233" i="8"/>
  <c r="BM233" i="8" s="1"/>
  <c r="BN233" i="8" s="1"/>
  <c r="BP233" i="8" s="1"/>
  <c r="BQ233" i="8" s="1"/>
  <c r="BO232" i="8"/>
  <c r="BL232" i="8"/>
  <c r="BM232" i="8" s="1"/>
  <c r="BN232" i="8" s="1"/>
  <c r="BP232" i="8" s="1"/>
  <c r="BQ232" i="8" s="1"/>
  <c r="BK232" i="8"/>
  <c r="BO231" i="8"/>
  <c r="BM231" i="8"/>
  <c r="BN231" i="8" s="1"/>
  <c r="BP231" i="8" s="1"/>
  <c r="BQ231" i="8" s="1"/>
  <c r="BL231" i="8"/>
  <c r="BK231" i="8"/>
  <c r="BO230" i="8"/>
  <c r="BL230" i="8"/>
  <c r="BK230" i="8"/>
  <c r="BM230" i="8" s="1"/>
  <c r="BN230" i="8" s="1"/>
  <c r="BP230" i="8" s="1"/>
  <c r="BQ230" i="8" s="1"/>
  <c r="BO229" i="8"/>
  <c r="BL229" i="8"/>
  <c r="BK229" i="8"/>
  <c r="BM229" i="8" s="1"/>
  <c r="BN229" i="8" s="1"/>
  <c r="BP229" i="8" s="1"/>
  <c r="BQ229" i="8" s="1"/>
  <c r="BO228" i="8"/>
  <c r="BL228" i="8"/>
  <c r="BK228" i="8"/>
  <c r="BM228" i="8" s="1"/>
  <c r="BN228" i="8" s="1"/>
  <c r="BP228" i="8" s="1"/>
  <c r="BQ228" i="8" s="1"/>
  <c r="BO227" i="8"/>
  <c r="BL227" i="8"/>
  <c r="BK227" i="8"/>
  <c r="BM227" i="8" s="1"/>
  <c r="BN227" i="8" s="1"/>
  <c r="BP227" i="8" s="1"/>
  <c r="BQ227" i="8" s="1"/>
  <c r="BO226" i="8"/>
  <c r="BL226" i="8"/>
  <c r="BM226" i="8" s="1"/>
  <c r="BN226" i="8" s="1"/>
  <c r="BP226" i="8" s="1"/>
  <c r="BQ226" i="8" s="1"/>
  <c r="BK226" i="8"/>
  <c r="BO217" i="8"/>
  <c r="BL217" i="8"/>
  <c r="BK217" i="8"/>
  <c r="BM217" i="8" s="1"/>
  <c r="BN217" i="8" s="1"/>
  <c r="BP217" i="8" s="1"/>
  <c r="BQ217" i="8" s="1"/>
  <c r="BO216" i="8"/>
  <c r="BL216" i="8"/>
  <c r="BM216" i="8" s="1"/>
  <c r="BN216" i="8" s="1"/>
  <c r="BP216" i="8" s="1"/>
  <c r="BQ216" i="8" s="1"/>
  <c r="BK216" i="8"/>
  <c r="BO215" i="8"/>
  <c r="BM215" i="8"/>
  <c r="BN215" i="8" s="1"/>
  <c r="BP215" i="8" s="1"/>
  <c r="BQ215" i="8" s="1"/>
  <c r="BL215" i="8"/>
  <c r="BK215" i="8"/>
  <c r="BO214" i="8"/>
  <c r="BL214" i="8"/>
  <c r="BK214" i="8"/>
  <c r="BM214" i="8" s="1"/>
  <c r="BN214" i="8" s="1"/>
  <c r="BP214" i="8" s="1"/>
  <c r="BQ214" i="8" s="1"/>
  <c r="BO213" i="8"/>
  <c r="BL213" i="8"/>
  <c r="BK213" i="8"/>
  <c r="BM213" i="8" s="1"/>
  <c r="BN213" i="8" s="1"/>
  <c r="BP213" i="8" s="1"/>
  <c r="BQ213" i="8" s="1"/>
  <c r="BO212" i="8"/>
  <c r="BL212" i="8"/>
  <c r="BK212" i="8"/>
  <c r="BM212" i="8" s="1"/>
  <c r="BN212" i="8" s="1"/>
  <c r="BP212" i="8" s="1"/>
  <c r="BQ212" i="8" s="1"/>
  <c r="BO211" i="8"/>
  <c r="BL211" i="8"/>
  <c r="BK211" i="8"/>
  <c r="BM211" i="8" s="1"/>
  <c r="BN211" i="8" s="1"/>
  <c r="BP211" i="8" s="1"/>
  <c r="BQ211" i="8" s="1"/>
  <c r="BO210" i="8"/>
  <c r="BL210" i="8"/>
  <c r="BM210" i="8" s="1"/>
  <c r="BN210" i="8" s="1"/>
  <c r="BP210" i="8" s="1"/>
  <c r="BQ210" i="8" s="1"/>
  <c r="BK210" i="8"/>
  <c r="BO209" i="8"/>
  <c r="BM209" i="8"/>
  <c r="BN209" i="8" s="1"/>
  <c r="BP209" i="8" s="1"/>
  <c r="BQ209" i="8" s="1"/>
  <c r="BL209" i="8"/>
  <c r="BK209" i="8"/>
  <c r="BO208" i="8"/>
  <c r="BL208" i="8"/>
  <c r="BK208" i="8"/>
  <c r="BM208" i="8" s="1"/>
  <c r="BN208" i="8" s="1"/>
  <c r="BP208" i="8" s="1"/>
  <c r="BQ208" i="8" s="1"/>
  <c r="BO207" i="8"/>
  <c r="BL207" i="8"/>
  <c r="BK207" i="8"/>
  <c r="BM207" i="8" s="1"/>
  <c r="BN207" i="8" s="1"/>
  <c r="BP207" i="8" s="1"/>
  <c r="BQ207" i="8" s="1"/>
  <c r="BO206" i="8"/>
  <c r="BL206" i="8"/>
  <c r="BK206" i="8"/>
  <c r="BM206" i="8" s="1"/>
  <c r="BN206" i="8" s="1"/>
  <c r="BP206" i="8" s="1"/>
  <c r="BQ206" i="8" s="1"/>
  <c r="BO205" i="8"/>
  <c r="BL205" i="8"/>
  <c r="BK205" i="8"/>
  <c r="BM205" i="8" s="1"/>
  <c r="BN205" i="8" s="1"/>
  <c r="BP205" i="8" s="1"/>
  <c r="BQ205" i="8" s="1"/>
  <c r="BO204" i="8"/>
  <c r="BL204" i="8"/>
  <c r="BM204" i="8" s="1"/>
  <c r="BN204" i="8" s="1"/>
  <c r="BP204" i="8" s="1"/>
  <c r="BQ204" i="8" s="1"/>
  <c r="BK204" i="8"/>
  <c r="BO203" i="8"/>
  <c r="BM203" i="8"/>
  <c r="BN203" i="8" s="1"/>
  <c r="BP203" i="8" s="1"/>
  <c r="BQ203" i="8" s="1"/>
  <c r="BL203" i="8"/>
  <c r="BK203" i="8"/>
  <c r="BO202" i="8"/>
  <c r="BL202" i="8"/>
  <c r="BK202" i="8"/>
  <c r="BM202" i="8" s="1"/>
  <c r="BN202" i="8" s="1"/>
  <c r="BP202" i="8" s="1"/>
  <c r="BQ202" i="8" s="1"/>
  <c r="BO201" i="8"/>
  <c r="BL201" i="8"/>
  <c r="BK201" i="8"/>
  <c r="BM201" i="8" s="1"/>
  <c r="BN201" i="8" s="1"/>
  <c r="BP201" i="8" s="1"/>
  <c r="BQ201" i="8" s="1"/>
  <c r="BO200" i="8"/>
  <c r="BL200" i="8"/>
  <c r="BK200" i="8"/>
  <c r="BM200" i="8" s="1"/>
  <c r="BN200" i="8" s="1"/>
  <c r="BP200" i="8" s="1"/>
  <c r="BQ200" i="8" s="1"/>
  <c r="BO199" i="8"/>
  <c r="BL199" i="8"/>
  <c r="BK199" i="8"/>
  <c r="BM199" i="8" s="1"/>
  <c r="BN199" i="8" s="1"/>
  <c r="BP199" i="8" s="1"/>
  <c r="BQ199" i="8" s="1"/>
  <c r="BO190" i="8"/>
  <c r="BL190" i="8"/>
  <c r="BM190" i="8" s="1"/>
  <c r="BN190" i="8" s="1"/>
  <c r="BP190" i="8" s="1"/>
  <c r="BQ190" i="8" s="1"/>
  <c r="BK190" i="8"/>
  <c r="BO189" i="8"/>
  <c r="BM189" i="8"/>
  <c r="BN189" i="8" s="1"/>
  <c r="BP189" i="8" s="1"/>
  <c r="BQ189" i="8" s="1"/>
  <c r="BL189" i="8"/>
  <c r="BK189" i="8"/>
  <c r="BO188" i="8"/>
  <c r="BL188" i="8"/>
  <c r="BM188" i="8" s="1"/>
  <c r="BN188" i="8" s="1"/>
  <c r="BP188" i="8" s="1"/>
  <c r="BQ188" i="8" s="1"/>
  <c r="BK188" i="8"/>
  <c r="BO187" i="8"/>
  <c r="BM187" i="8"/>
  <c r="BN187" i="8" s="1"/>
  <c r="BP187" i="8" s="1"/>
  <c r="BQ187" i="8" s="1"/>
  <c r="BL187" i="8"/>
  <c r="BK187" i="8"/>
  <c r="BO186" i="8"/>
  <c r="BL186" i="8"/>
  <c r="BK186" i="8"/>
  <c r="BM186" i="8" s="1"/>
  <c r="BN186" i="8" s="1"/>
  <c r="BP186" i="8" s="1"/>
  <c r="BQ186" i="8" s="1"/>
  <c r="BO185" i="8"/>
  <c r="BL185" i="8"/>
  <c r="BK185" i="8"/>
  <c r="BM185" i="8" s="1"/>
  <c r="BN185" i="8" s="1"/>
  <c r="BP185" i="8" s="1"/>
  <c r="BQ185" i="8" s="1"/>
  <c r="BO184" i="8"/>
  <c r="BL184" i="8"/>
  <c r="BM184" i="8" s="1"/>
  <c r="BN184" i="8" s="1"/>
  <c r="BP184" i="8" s="1"/>
  <c r="BQ184" i="8" s="1"/>
  <c r="BK184" i="8"/>
  <c r="BO183" i="8"/>
  <c r="BM183" i="8"/>
  <c r="BN183" i="8" s="1"/>
  <c r="BP183" i="8" s="1"/>
  <c r="BQ183" i="8" s="1"/>
  <c r="BL183" i="8"/>
  <c r="BK183" i="8"/>
  <c r="BO182" i="8"/>
  <c r="BL182" i="8"/>
  <c r="BM182" i="8" s="1"/>
  <c r="BN182" i="8" s="1"/>
  <c r="BP182" i="8" s="1"/>
  <c r="BQ182" i="8" s="1"/>
  <c r="BK182" i="8"/>
  <c r="BO181" i="8"/>
  <c r="BM181" i="8"/>
  <c r="BN181" i="8" s="1"/>
  <c r="BP181" i="8" s="1"/>
  <c r="BQ181" i="8" s="1"/>
  <c r="BL181" i="8"/>
  <c r="BK181" i="8"/>
  <c r="BO180" i="8"/>
  <c r="BL180" i="8"/>
  <c r="BK180" i="8"/>
  <c r="BM180" i="8" s="1"/>
  <c r="BN180" i="8" s="1"/>
  <c r="BP180" i="8" s="1"/>
  <c r="BQ180" i="8" s="1"/>
  <c r="BO179" i="8"/>
  <c r="BL179" i="8"/>
  <c r="BK179" i="8"/>
  <c r="BM179" i="8" s="1"/>
  <c r="BN179" i="8" s="1"/>
  <c r="BP179" i="8" s="1"/>
  <c r="BQ179" i="8" s="1"/>
  <c r="BO178" i="8"/>
  <c r="BL178" i="8"/>
  <c r="BM178" i="8" s="1"/>
  <c r="BN178" i="8" s="1"/>
  <c r="BP178" i="8" s="1"/>
  <c r="BQ178" i="8" s="1"/>
  <c r="BK178" i="8"/>
  <c r="BO177" i="8"/>
  <c r="BM177" i="8"/>
  <c r="BN177" i="8" s="1"/>
  <c r="BP177" i="8" s="1"/>
  <c r="BQ177" i="8" s="1"/>
  <c r="BL177" i="8"/>
  <c r="BK177" i="8"/>
  <c r="BO176" i="8"/>
  <c r="BL176" i="8"/>
  <c r="BM176" i="8" s="1"/>
  <c r="BN176" i="8" s="1"/>
  <c r="BP176" i="8" s="1"/>
  <c r="BQ176" i="8" s="1"/>
  <c r="BK176" i="8"/>
  <c r="BO175" i="8"/>
  <c r="BM175" i="8"/>
  <c r="BN175" i="8" s="1"/>
  <c r="BP175" i="8" s="1"/>
  <c r="BQ175" i="8" s="1"/>
  <c r="BL175" i="8"/>
  <c r="BK175" i="8"/>
  <c r="BO174" i="8"/>
  <c r="BL174" i="8"/>
  <c r="BK174" i="8"/>
  <c r="BM174" i="8" s="1"/>
  <c r="BN174" i="8" s="1"/>
  <c r="BP174" i="8" s="1"/>
  <c r="BQ174" i="8" s="1"/>
  <c r="BO173" i="8"/>
  <c r="BL173" i="8"/>
  <c r="BK173" i="8"/>
  <c r="BM173" i="8" s="1"/>
  <c r="BN173" i="8" s="1"/>
  <c r="BP173" i="8" s="1"/>
  <c r="BQ173" i="8" s="1"/>
  <c r="BO172" i="8"/>
  <c r="BL172" i="8"/>
  <c r="BM172" i="8" s="1"/>
  <c r="BN172" i="8" s="1"/>
  <c r="BP172" i="8" s="1"/>
  <c r="BQ172" i="8" s="1"/>
  <c r="BK172" i="8"/>
  <c r="BO163" i="8"/>
  <c r="BL163" i="8"/>
  <c r="BK163" i="8"/>
  <c r="BM163" i="8" s="1"/>
  <c r="BN163" i="8" s="1"/>
  <c r="BP163" i="8" s="1"/>
  <c r="BQ163" i="8" s="1"/>
  <c r="BO162" i="8"/>
  <c r="BM162" i="8"/>
  <c r="BN162" i="8" s="1"/>
  <c r="BP162" i="8" s="1"/>
  <c r="BQ162" i="8" s="1"/>
  <c r="BL162" i="8"/>
  <c r="BK162" i="8"/>
  <c r="BO161" i="8"/>
  <c r="BN161" i="8"/>
  <c r="BP161" i="8" s="1"/>
  <c r="BQ161" i="8" s="1"/>
  <c r="BM161" i="8"/>
  <c r="BL161" i="8"/>
  <c r="BK161" i="8"/>
  <c r="BO160" i="8"/>
  <c r="BL160" i="8"/>
  <c r="BK160" i="8"/>
  <c r="BM160" i="8" s="1"/>
  <c r="BN160" i="8" s="1"/>
  <c r="BP160" i="8" s="1"/>
  <c r="BQ160" i="8" s="1"/>
  <c r="BO159" i="8"/>
  <c r="BL159" i="8"/>
  <c r="BM159" i="8" s="1"/>
  <c r="BN159" i="8" s="1"/>
  <c r="BP159" i="8" s="1"/>
  <c r="BQ159" i="8" s="1"/>
  <c r="BK159" i="8"/>
  <c r="BO158" i="8"/>
  <c r="BL158" i="8"/>
  <c r="BK158" i="8"/>
  <c r="BM158" i="8" s="1"/>
  <c r="BN158" i="8" s="1"/>
  <c r="BP158" i="8" s="1"/>
  <c r="BQ158" i="8" s="1"/>
  <c r="BO157" i="8"/>
  <c r="BL157" i="8"/>
  <c r="BK157" i="8"/>
  <c r="BM157" i="8" s="1"/>
  <c r="BN157" i="8" s="1"/>
  <c r="BP157" i="8" s="1"/>
  <c r="BQ157" i="8" s="1"/>
  <c r="BO156" i="8"/>
  <c r="BM156" i="8"/>
  <c r="BN156" i="8" s="1"/>
  <c r="BP156" i="8" s="1"/>
  <c r="BQ156" i="8" s="1"/>
  <c r="BL156" i="8"/>
  <c r="BK156" i="8"/>
  <c r="BO155" i="8"/>
  <c r="BN155" i="8"/>
  <c r="BP155" i="8" s="1"/>
  <c r="BQ155" i="8" s="1"/>
  <c r="BM155" i="8"/>
  <c r="BL155" i="8"/>
  <c r="BK155" i="8"/>
  <c r="BO154" i="8"/>
  <c r="BL154" i="8"/>
  <c r="BK154" i="8"/>
  <c r="BM154" i="8" s="1"/>
  <c r="BN154" i="8" s="1"/>
  <c r="BP154" i="8" s="1"/>
  <c r="BQ154" i="8" s="1"/>
  <c r="BO153" i="8"/>
  <c r="BL153" i="8"/>
  <c r="BM153" i="8" s="1"/>
  <c r="BN153" i="8" s="1"/>
  <c r="BP153" i="8" s="1"/>
  <c r="BQ153" i="8" s="1"/>
  <c r="BK153" i="8"/>
  <c r="BO152" i="8"/>
  <c r="BL152" i="8"/>
  <c r="BK152" i="8"/>
  <c r="BM152" i="8" s="1"/>
  <c r="BN152" i="8" s="1"/>
  <c r="BP152" i="8" s="1"/>
  <c r="BQ152" i="8" s="1"/>
  <c r="BO151" i="8"/>
  <c r="BL151" i="8"/>
  <c r="BK151" i="8"/>
  <c r="BM151" i="8" s="1"/>
  <c r="BN151" i="8" s="1"/>
  <c r="BP151" i="8" s="1"/>
  <c r="BQ151" i="8" s="1"/>
  <c r="BO150" i="8"/>
  <c r="BM150" i="8"/>
  <c r="BN150" i="8" s="1"/>
  <c r="BP150" i="8" s="1"/>
  <c r="BQ150" i="8" s="1"/>
  <c r="BL150" i="8"/>
  <c r="BK150" i="8"/>
  <c r="BO149" i="8"/>
  <c r="BN149" i="8"/>
  <c r="BP149" i="8" s="1"/>
  <c r="BQ149" i="8" s="1"/>
  <c r="BM149" i="8"/>
  <c r="BL149" i="8"/>
  <c r="BK149" i="8"/>
  <c r="BO148" i="8"/>
  <c r="BL148" i="8"/>
  <c r="BK148" i="8"/>
  <c r="BM148" i="8" s="1"/>
  <c r="BN148" i="8" s="1"/>
  <c r="BP148" i="8" s="1"/>
  <c r="BQ148" i="8" s="1"/>
  <c r="BO147" i="8"/>
  <c r="BL147" i="8"/>
  <c r="BM147" i="8" s="1"/>
  <c r="BN147" i="8" s="1"/>
  <c r="BP147" i="8" s="1"/>
  <c r="BQ147" i="8" s="1"/>
  <c r="BK147" i="8"/>
  <c r="BO146" i="8"/>
  <c r="BL146" i="8"/>
  <c r="BK146" i="8"/>
  <c r="BM146" i="8" s="1"/>
  <c r="BN146" i="8" s="1"/>
  <c r="BP146" i="8" s="1"/>
  <c r="BQ146" i="8" s="1"/>
  <c r="BO145" i="8"/>
  <c r="BL145" i="8"/>
  <c r="BK145" i="8"/>
  <c r="BM145" i="8" s="1"/>
  <c r="BN145" i="8" s="1"/>
  <c r="BP145" i="8" s="1"/>
  <c r="BQ145" i="8" s="1"/>
  <c r="BO136" i="8"/>
  <c r="BL136" i="8"/>
  <c r="BM136" i="8" s="1"/>
  <c r="BN136" i="8" s="1"/>
  <c r="BP136" i="8" s="1"/>
  <c r="BQ136" i="8" s="1"/>
  <c r="BK136" i="8"/>
  <c r="BO135" i="8"/>
  <c r="BM135" i="8"/>
  <c r="BN135" i="8" s="1"/>
  <c r="BP135" i="8" s="1"/>
  <c r="BQ135" i="8" s="1"/>
  <c r="BL135" i="8"/>
  <c r="BK135" i="8"/>
  <c r="BO134" i="8"/>
  <c r="BN134" i="8"/>
  <c r="BP134" i="8" s="1"/>
  <c r="BQ134" i="8" s="1"/>
  <c r="BM134" i="8"/>
  <c r="BL134" i="8"/>
  <c r="BK134" i="8"/>
  <c r="BO133" i="8"/>
  <c r="BL133" i="8"/>
  <c r="BM133" i="8" s="1"/>
  <c r="BN133" i="8" s="1"/>
  <c r="BP133" i="8" s="1"/>
  <c r="BQ133" i="8" s="1"/>
  <c r="BK133" i="8"/>
  <c r="BO132" i="8"/>
  <c r="BL132" i="8"/>
  <c r="BK132" i="8"/>
  <c r="BM132" i="8" s="1"/>
  <c r="BN132" i="8" s="1"/>
  <c r="BP132" i="8" s="1"/>
  <c r="BQ132" i="8" s="1"/>
  <c r="BO131" i="8"/>
  <c r="BL131" i="8"/>
  <c r="BK131" i="8"/>
  <c r="BM131" i="8" s="1"/>
  <c r="BN131" i="8" s="1"/>
  <c r="BP131" i="8" s="1"/>
  <c r="BQ131" i="8" s="1"/>
  <c r="BO130" i="8"/>
  <c r="BL130" i="8"/>
  <c r="BM130" i="8" s="1"/>
  <c r="BN130" i="8" s="1"/>
  <c r="BP130" i="8" s="1"/>
  <c r="BQ130" i="8" s="1"/>
  <c r="BK130" i="8"/>
  <c r="BO129" i="8"/>
  <c r="BM129" i="8"/>
  <c r="BN129" i="8" s="1"/>
  <c r="BP129" i="8" s="1"/>
  <c r="BQ129" i="8" s="1"/>
  <c r="BL129" i="8"/>
  <c r="BK129" i="8"/>
  <c r="BO128" i="8"/>
  <c r="BN128" i="8"/>
  <c r="BP128" i="8" s="1"/>
  <c r="BQ128" i="8" s="1"/>
  <c r="BM128" i="8"/>
  <c r="BL128" i="8"/>
  <c r="BK128" i="8"/>
  <c r="BO127" i="8"/>
  <c r="BP127" i="8" s="1"/>
  <c r="BQ127" i="8" s="1"/>
  <c r="BN127" i="8"/>
  <c r="BM127" i="8"/>
  <c r="BL127" i="8"/>
  <c r="BK127" i="8"/>
  <c r="BO126" i="8"/>
  <c r="BL126" i="8"/>
  <c r="BK126" i="8"/>
  <c r="BM126" i="8" s="1"/>
  <c r="BN126" i="8" s="1"/>
  <c r="BP126" i="8" s="1"/>
  <c r="BQ126" i="8" s="1"/>
  <c r="BO125" i="8"/>
  <c r="BL125" i="8"/>
  <c r="BK125" i="8"/>
  <c r="BM125" i="8" s="1"/>
  <c r="BN125" i="8" s="1"/>
  <c r="BP125" i="8" s="1"/>
  <c r="BQ125" i="8" s="1"/>
  <c r="BO124" i="8"/>
  <c r="BL124" i="8"/>
  <c r="BM124" i="8" s="1"/>
  <c r="BN124" i="8" s="1"/>
  <c r="BP124" i="8" s="1"/>
  <c r="BQ124" i="8" s="1"/>
  <c r="BK124" i="8"/>
  <c r="BO123" i="8"/>
  <c r="BM123" i="8"/>
  <c r="BN123" i="8" s="1"/>
  <c r="BP123" i="8" s="1"/>
  <c r="BQ123" i="8" s="1"/>
  <c r="BL123" i="8"/>
  <c r="BK123" i="8"/>
  <c r="BO122" i="8"/>
  <c r="BN122" i="8"/>
  <c r="BP122" i="8" s="1"/>
  <c r="BQ122" i="8" s="1"/>
  <c r="BM122" i="8"/>
  <c r="BL122" i="8"/>
  <c r="BK122" i="8"/>
  <c r="BO121" i="8"/>
  <c r="BM121" i="8"/>
  <c r="BN121" i="8" s="1"/>
  <c r="BP121" i="8" s="1"/>
  <c r="BQ121" i="8" s="1"/>
  <c r="BL121" i="8"/>
  <c r="BK121" i="8"/>
  <c r="BO120" i="8"/>
  <c r="BL120" i="8"/>
  <c r="BK120" i="8"/>
  <c r="BM120" i="8" s="1"/>
  <c r="BN120" i="8" s="1"/>
  <c r="BP120" i="8" s="1"/>
  <c r="BQ120" i="8" s="1"/>
  <c r="BO119" i="8"/>
  <c r="BL119" i="8"/>
  <c r="BK119" i="8"/>
  <c r="BM119" i="8" s="1"/>
  <c r="BN119" i="8" s="1"/>
  <c r="BP119" i="8" s="1"/>
  <c r="BQ119" i="8" s="1"/>
  <c r="BO118" i="8"/>
  <c r="BL118" i="8"/>
  <c r="BM118" i="8" s="1"/>
  <c r="BN118" i="8" s="1"/>
  <c r="BP118" i="8" s="1"/>
  <c r="BQ118" i="8" s="1"/>
  <c r="BK118" i="8"/>
  <c r="BO109" i="8"/>
  <c r="BL109" i="8"/>
  <c r="BK109" i="8"/>
  <c r="BM109" i="8" s="1"/>
  <c r="BN109" i="8" s="1"/>
  <c r="BP109" i="8" s="1"/>
  <c r="BQ109" i="8" s="1"/>
  <c r="BO108" i="8"/>
  <c r="BM108" i="8"/>
  <c r="BN108" i="8" s="1"/>
  <c r="BP108" i="8" s="1"/>
  <c r="BQ108" i="8" s="1"/>
  <c r="BL108" i="8"/>
  <c r="BK108" i="8"/>
  <c r="BO107" i="8"/>
  <c r="BL107" i="8"/>
  <c r="BK107" i="8"/>
  <c r="BM107" i="8" s="1"/>
  <c r="BN107" i="8" s="1"/>
  <c r="BP107" i="8" s="1"/>
  <c r="BQ107" i="8" s="1"/>
  <c r="BO106" i="8"/>
  <c r="BL106" i="8"/>
  <c r="BK106" i="8"/>
  <c r="BM106" i="8" s="1"/>
  <c r="BN106" i="8" s="1"/>
  <c r="BP106" i="8" s="1"/>
  <c r="BQ106" i="8" s="1"/>
  <c r="BO105" i="8"/>
  <c r="BM105" i="8"/>
  <c r="BN105" i="8" s="1"/>
  <c r="BP105" i="8" s="1"/>
  <c r="BQ105" i="8" s="1"/>
  <c r="BL105" i="8"/>
  <c r="BK105" i="8"/>
  <c r="BO104" i="8"/>
  <c r="BL104" i="8"/>
  <c r="BK104" i="8"/>
  <c r="BM104" i="8" s="1"/>
  <c r="BN104" i="8" s="1"/>
  <c r="BP104" i="8" s="1"/>
  <c r="BQ104" i="8" s="1"/>
  <c r="BO103" i="8"/>
  <c r="BL103" i="8"/>
  <c r="BK103" i="8"/>
  <c r="BM103" i="8" s="1"/>
  <c r="BN103" i="8" s="1"/>
  <c r="BP103" i="8" s="1"/>
  <c r="BQ103" i="8" s="1"/>
  <c r="BO102" i="8"/>
  <c r="BM102" i="8"/>
  <c r="BN102" i="8" s="1"/>
  <c r="BP102" i="8" s="1"/>
  <c r="BQ102" i="8" s="1"/>
  <c r="BL102" i="8"/>
  <c r="BK102" i="8"/>
  <c r="BO101" i="8"/>
  <c r="BL101" i="8"/>
  <c r="BK101" i="8"/>
  <c r="BM101" i="8" s="1"/>
  <c r="BN101" i="8" s="1"/>
  <c r="BP101" i="8" s="1"/>
  <c r="BQ101" i="8" s="1"/>
  <c r="BO100" i="8"/>
  <c r="BL100" i="8"/>
  <c r="BK100" i="8"/>
  <c r="BM100" i="8" s="1"/>
  <c r="BN100" i="8" s="1"/>
  <c r="BP100" i="8" s="1"/>
  <c r="BQ100" i="8" s="1"/>
  <c r="BO99" i="8"/>
  <c r="BM99" i="8"/>
  <c r="BN99" i="8" s="1"/>
  <c r="BP99" i="8" s="1"/>
  <c r="BQ99" i="8" s="1"/>
  <c r="BL99" i="8"/>
  <c r="BK99" i="8"/>
  <c r="BO98" i="8"/>
  <c r="BL98" i="8"/>
  <c r="BK98" i="8"/>
  <c r="BM98" i="8" s="1"/>
  <c r="BN98" i="8" s="1"/>
  <c r="BP98" i="8" s="1"/>
  <c r="BQ98" i="8" s="1"/>
  <c r="BO97" i="8"/>
  <c r="BL97" i="8"/>
  <c r="BK97" i="8"/>
  <c r="BM97" i="8" s="1"/>
  <c r="BN97" i="8" s="1"/>
  <c r="BP97" i="8" s="1"/>
  <c r="BQ97" i="8" s="1"/>
  <c r="BO96" i="8"/>
  <c r="BM96" i="8"/>
  <c r="BN96" i="8" s="1"/>
  <c r="BP96" i="8" s="1"/>
  <c r="BQ96" i="8" s="1"/>
  <c r="BL96" i="8"/>
  <c r="BK96" i="8"/>
  <c r="BO95" i="8"/>
  <c r="BL95" i="8"/>
  <c r="BK95" i="8"/>
  <c r="BM95" i="8" s="1"/>
  <c r="BN95" i="8" s="1"/>
  <c r="BP95" i="8" s="1"/>
  <c r="BQ95" i="8" s="1"/>
  <c r="BO94" i="8"/>
  <c r="BL94" i="8"/>
  <c r="BK94" i="8"/>
  <c r="BM94" i="8" s="1"/>
  <c r="BN94" i="8" s="1"/>
  <c r="BP94" i="8" s="1"/>
  <c r="BQ94" i="8" s="1"/>
  <c r="BO93" i="8"/>
  <c r="BM93" i="8"/>
  <c r="BN93" i="8" s="1"/>
  <c r="BP93" i="8" s="1"/>
  <c r="BQ93" i="8" s="1"/>
  <c r="BL93" i="8"/>
  <c r="BK93" i="8"/>
  <c r="BO92" i="8"/>
  <c r="BL92" i="8"/>
  <c r="BK92" i="8"/>
  <c r="BM92" i="8" s="1"/>
  <c r="BN92" i="8" s="1"/>
  <c r="BP92" i="8" s="1"/>
  <c r="BQ92" i="8" s="1"/>
  <c r="BO91" i="8"/>
  <c r="BL91" i="8"/>
  <c r="BK91" i="8"/>
  <c r="BM91" i="8" s="1"/>
  <c r="BN91" i="8" s="1"/>
  <c r="BP91" i="8" s="1"/>
  <c r="BQ91" i="8" s="1"/>
  <c r="BO82" i="8"/>
  <c r="BL82" i="8"/>
  <c r="BM82" i="8" s="1"/>
  <c r="BN82" i="8" s="1"/>
  <c r="BP82" i="8" s="1"/>
  <c r="BQ82" i="8" s="1"/>
  <c r="BK82" i="8"/>
  <c r="BO81" i="8"/>
  <c r="BM81" i="8"/>
  <c r="BN81" i="8" s="1"/>
  <c r="BP81" i="8" s="1"/>
  <c r="BQ81" i="8" s="1"/>
  <c r="BL81" i="8"/>
  <c r="BK81" i="8"/>
  <c r="BO80" i="8"/>
  <c r="BL80" i="8"/>
  <c r="BM80" i="8" s="1"/>
  <c r="BN80" i="8" s="1"/>
  <c r="BP80" i="8" s="1"/>
  <c r="BQ80" i="8" s="1"/>
  <c r="BK80" i="8"/>
  <c r="BO79" i="8"/>
  <c r="BL79" i="8"/>
  <c r="BK79" i="8"/>
  <c r="BM79" i="8" s="1"/>
  <c r="BN79" i="8" s="1"/>
  <c r="BP79" i="8" s="1"/>
  <c r="BQ79" i="8" s="1"/>
  <c r="BO78" i="8"/>
  <c r="BL78" i="8"/>
  <c r="BK78" i="8"/>
  <c r="BM78" i="8" s="1"/>
  <c r="BN78" i="8" s="1"/>
  <c r="BP78" i="8" s="1"/>
  <c r="BQ78" i="8" s="1"/>
  <c r="BO77" i="8"/>
  <c r="BL77" i="8"/>
  <c r="BK77" i="8"/>
  <c r="BM77" i="8" s="1"/>
  <c r="BN77" i="8" s="1"/>
  <c r="BP77" i="8" s="1"/>
  <c r="BQ77" i="8" s="1"/>
  <c r="BO76" i="8"/>
  <c r="BL76" i="8"/>
  <c r="BM76" i="8" s="1"/>
  <c r="BN76" i="8" s="1"/>
  <c r="BP76" i="8" s="1"/>
  <c r="BQ76" i="8" s="1"/>
  <c r="BK76" i="8"/>
  <c r="BO75" i="8"/>
  <c r="BM75" i="8"/>
  <c r="BN75" i="8" s="1"/>
  <c r="BP75" i="8" s="1"/>
  <c r="BQ75" i="8" s="1"/>
  <c r="BL75" i="8"/>
  <c r="BK75" i="8"/>
  <c r="BO74" i="8"/>
  <c r="BL74" i="8"/>
  <c r="BM74" i="8" s="1"/>
  <c r="BN74" i="8" s="1"/>
  <c r="BP74" i="8" s="1"/>
  <c r="BQ74" i="8" s="1"/>
  <c r="BK74" i="8"/>
  <c r="BO73" i="8"/>
  <c r="BL73" i="8"/>
  <c r="BK73" i="8"/>
  <c r="BM73" i="8" s="1"/>
  <c r="BN73" i="8" s="1"/>
  <c r="BP73" i="8" s="1"/>
  <c r="BQ73" i="8" s="1"/>
  <c r="BO72" i="8"/>
  <c r="BL72" i="8"/>
  <c r="BK72" i="8"/>
  <c r="BM72" i="8" s="1"/>
  <c r="BN72" i="8" s="1"/>
  <c r="BP72" i="8" s="1"/>
  <c r="BQ72" i="8" s="1"/>
  <c r="BO71" i="8"/>
  <c r="BL71" i="8"/>
  <c r="BK71" i="8"/>
  <c r="BM71" i="8" s="1"/>
  <c r="BN71" i="8" s="1"/>
  <c r="BP71" i="8" s="1"/>
  <c r="BQ71" i="8" s="1"/>
  <c r="BO70" i="8"/>
  <c r="BL70" i="8"/>
  <c r="BM70" i="8" s="1"/>
  <c r="BN70" i="8" s="1"/>
  <c r="BP70" i="8" s="1"/>
  <c r="BQ70" i="8" s="1"/>
  <c r="BK70" i="8"/>
  <c r="BO69" i="8"/>
  <c r="BM69" i="8"/>
  <c r="BN69" i="8" s="1"/>
  <c r="BP69" i="8" s="1"/>
  <c r="BQ69" i="8" s="1"/>
  <c r="BL69" i="8"/>
  <c r="BK69" i="8"/>
  <c r="BO68" i="8"/>
  <c r="BN68" i="8"/>
  <c r="BP68" i="8" s="1"/>
  <c r="BQ68" i="8" s="1"/>
  <c r="BM68" i="8"/>
  <c r="BL68" i="8"/>
  <c r="BK68" i="8"/>
  <c r="BO67" i="8"/>
  <c r="BL67" i="8"/>
  <c r="BK67" i="8"/>
  <c r="BM67" i="8" s="1"/>
  <c r="BN67" i="8" s="1"/>
  <c r="BP67" i="8" s="1"/>
  <c r="BQ67" i="8" s="1"/>
  <c r="BO66" i="8"/>
  <c r="BL66" i="8"/>
  <c r="BK66" i="8"/>
  <c r="BM66" i="8" s="1"/>
  <c r="BN66" i="8" s="1"/>
  <c r="BP66" i="8" s="1"/>
  <c r="BQ66" i="8" s="1"/>
  <c r="BO65" i="8"/>
  <c r="BL65" i="8"/>
  <c r="BK65" i="8"/>
  <c r="BM65" i="8" s="1"/>
  <c r="BN65" i="8" s="1"/>
  <c r="BP65" i="8" s="1"/>
  <c r="BQ65" i="8" s="1"/>
  <c r="BO64" i="8"/>
  <c r="BL64" i="8"/>
  <c r="BM64" i="8" s="1"/>
  <c r="BN64" i="8" s="1"/>
  <c r="BP64" i="8" s="1"/>
  <c r="BQ64" i="8" s="1"/>
  <c r="BK64" i="8"/>
  <c r="BP56" i="8"/>
  <c r="BP55" i="8"/>
  <c r="BP54" i="8"/>
  <c r="BP53" i="8"/>
  <c r="BP52" i="8"/>
  <c r="BP51" i="8"/>
  <c r="BP50" i="8"/>
  <c r="BP49" i="8"/>
  <c r="BP48" i="8"/>
  <c r="BP47" i="8"/>
  <c r="BP46" i="8"/>
  <c r="BP45" i="8"/>
  <c r="BP44" i="8"/>
  <c r="BP43" i="8"/>
  <c r="BP42" i="8"/>
  <c r="BP41" i="8"/>
  <c r="BP40" i="8"/>
  <c r="BP39" i="8"/>
  <c r="BP38" i="8"/>
  <c r="BO56" i="8"/>
  <c r="BO55" i="8"/>
  <c r="BO54" i="8"/>
  <c r="BO53" i="8"/>
  <c r="BO52" i="8"/>
  <c r="BO51" i="8"/>
  <c r="BO50" i="8"/>
  <c r="BO49" i="8"/>
  <c r="BO48" i="8"/>
  <c r="BO47" i="8"/>
  <c r="BO46" i="8"/>
  <c r="BO45" i="8"/>
  <c r="BO44" i="8"/>
  <c r="BO43" i="8"/>
  <c r="BO42" i="8"/>
  <c r="BO41" i="8"/>
  <c r="BO40" i="8"/>
  <c r="BO39" i="8"/>
  <c r="BO38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BQ13" i="8"/>
  <c r="BP30" i="8"/>
  <c r="BP29" i="8"/>
  <c r="BP28" i="8"/>
  <c r="BP27" i="8"/>
  <c r="BP26" i="8"/>
  <c r="BP25" i="8"/>
  <c r="BP24" i="8"/>
  <c r="BP23" i="8"/>
  <c r="BP22" i="8"/>
  <c r="BP21" i="8"/>
  <c r="BP20" i="8"/>
  <c r="BP19" i="8"/>
  <c r="BP18" i="8"/>
  <c r="BP17" i="8"/>
  <c r="BP16" i="8"/>
  <c r="BP15" i="8"/>
  <c r="BP14" i="8"/>
  <c r="BP13" i="8"/>
  <c r="BQ12" i="8"/>
  <c r="BP12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AE59" i="8"/>
  <c r="AE58" i="8"/>
  <c r="AC58" i="8"/>
  <c r="BH326" i="8"/>
  <c r="BH325" i="8"/>
  <c r="BH324" i="8"/>
  <c r="BH323" i="8"/>
  <c r="BH322" i="8"/>
  <c r="BH321" i="8"/>
  <c r="BH320" i="8"/>
  <c r="BH319" i="8"/>
  <c r="BH318" i="8"/>
  <c r="BH317" i="8"/>
  <c r="BH316" i="8"/>
  <c r="BH315" i="8"/>
  <c r="BH314" i="8"/>
  <c r="BH313" i="8"/>
  <c r="BH312" i="8"/>
  <c r="BH311" i="8"/>
  <c r="BH310" i="8"/>
  <c r="BH309" i="8"/>
  <c r="BH308" i="8"/>
  <c r="BH307" i="8"/>
  <c r="BH299" i="8"/>
  <c r="BH298" i="8"/>
  <c r="BH297" i="8"/>
  <c r="BH296" i="8"/>
  <c r="BH295" i="8"/>
  <c r="BH294" i="8"/>
  <c r="BH293" i="8"/>
  <c r="BH292" i="8"/>
  <c r="BH291" i="8"/>
  <c r="BH290" i="8"/>
  <c r="BH289" i="8"/>
  <c r="BH288" i="8"/>
  <c r="BH287" i="8"/>
  <c r="BH286" i="8"/>
  <c r="BH285" i="8"/>
  <c r="BH284" i="8"/>
  <c r="BH283" i="8"/>
  <c r="BH282" i="8"/>
  <c r="BH281" i="8"/>
  <c r="BH280" i="8"/>
  <c r="BH272" i="8"/>
  <c r="BH271" i="8"/>
  <c r="BH270" i="8"/>
  <c r="BH269" i="8"/>
  <c r="BH268" i="8"/>
  <c r="BH267" i="8"/>
  <c r="BH266" i="8"/>
  <c r="BH265" i="8"/>
  <c r="BH264" i="8"/>
  <c r="BH263" i="8"/>
  <c r="BH262" i="8"/>
  <c r="BH261" i="8"/>
  <c r="BH260" i="8"/>
  <c r="BH259" i="8"/>
  <c r="BH258" i="8"/>
  <c r="BH257" i="8"/>
  <c r="BH256" i="8"/>
  <c r="BH255" i="8"/>
  <c r="BH254" i="8"/>
  <c r="BH253" i="8"/>
  <c r="BH245" i="8"/>
  <c r="BH244" i="8"/>
  <c r="BH243" i="8"/>
  <c r="BH242" i="8"/>
  <c r="BH241" i="8"/>
  <c r="BH240" i="8"/>
  <c r="BH239" i="8"/>
  <c r="BH238" i="8"/>
  <c r="BH237" i="8"/>
  <c r="BH236" i="8"/>
  <c r="BH235" i="8"/>
  <c r="BH234" i="8"/>
  <c r="BH233" i="8"/>
  <c r="BH232" i="8"/>
  <c r="BH231" i="8"/>
  <c r="BH230" i="8"/>
  <c r="BH229" i="8"/>
  <c r="BH228" i="8"/>
  <c r="BH227" i="8"/>
  <c r="BH226" i="8"/>
  <c r="BH218" i="8"/>
  <c r="BH217" i="8"/>
  <c r="BH216" i="8"/>
  <c r="BH215" i="8"/>
  <c r="BH214" i="8"/>
  <c r="BH213" i="8"/>
  <c r="BH212" i="8"/>
  <c r="BH211" i="8"/>
  <c r="BH210" i="8"/>
  <c r="BH209" i="8"/>
  <c r="BH208" i="8"/>
  <c r="BH207" i="8"/>
  <c r="BH206" i="8"/>
  <c r="BH205" i="8"/>
  <c r="BH204" i="8"/>
  <c r="BH203" i="8"/>
  <c r="BH202" i="8"/>
  <c r="BH201" i="8"/>
  <c r="BH200" i="8"/>
  <c r="BH199" i="8"/>
  <c r="BH191" i="8"/>
  <c r="BH190" i="8"/>
  <c r="BH189" i="8"/>
  <c r="BH188" i="8"/>
  <c r="BH187" i="8"/>
  <c r="BH186" i="8"/>
  <c r="BH185" i="8"/>
  <c r="BH184" i="8"/>
  <c r="BH183" i="8"/>
  <c r="BH182" i="8"/>
  <c r="BH181" i="8"/>
  <c r="BH180" i="8"/>
  <c r="BH179" i="8"/>
  <c r="BH178" i="8"/>
  <c r="BH177" i="8"/>
  <c r="BH176" i="8"/>
  <c r="BH175" i="8"/>
  <c r="BH174" i="8"/>
  <c r="BH173" i="8"/>
  <c r="BH172" i="8"/>
  <c r="BH164" i="8"/>
  <c r="BH163" i="8"/>
  <c r="BH162" i="8"/>
  <c r="BH161" i="8"/>
  <c r="BH160" i="8"/>
  <c r="BH159" i="8"/>
  <c r="BH158" i="8"/>
  <c r="BH157" i="8"/>
  <c r="BH156" i="8"/>
  <c r="BH155" i="8"/>
  <c r="BH154" i="8"/>
  <c r="BH153" i="8"/>
  <c r="BH152" i="8"/>
  <c r="BH151" i="8"/>
  <c r="BH150" i="8"/>
  <c r="BH149" i="8"/>
  <c r="BH148" i="8"/>
  <c r="BH147" i="8"/>
  <c r="BH146" i="8"/>
  <c r="BH145" i="8"/>
  <c r="BH137" i="8"/>
  <c r="BH136" i="8"/>
  <c r="BH135" i="8"/>
  <c r="BH134" i="8"/>
  <c r="BH133" i="8"/>
  <c r="BH132" i="8"/>
  <c r="BH131" i="8"/>
  <c r="BH130" i="8"/>
  <c r="BH129" i="8"/>
  <c r="BH128" i="8"/>
  <c r="BH127" i="8"/>
  <c r="BH126" i="8"/>
  <c r="BH125" i="8"/>
  <c r="BH124" i="8"/>
  <c r="BH123" i="8"/>
  <c r="BH122" i="8"/>
  <c r="BH121" i="8"/>
  <c r="BH120" i="8"/>
  <c r="BH119" i="8"/>
  <c r="BH118" i="8"/>
  <c r="BH110" i="8"/>
  <c r="BH109" i="8"/>
  <c r="BH108" i="8"/>
  <c r="BH107" i="8"/>
  <c r="BH106" i="8"/>
  <c r="BH105" i="8"/>
  <c r="BH104" i="8"/>
  <c r="BH103" i="8"/>
  <c r="BH102" i="8"/>
  <c r="BH101" i="8"/>
  <c r="BH100" i="8"/>
  <c r="BH99" i="8"/>
  <c r="BH98" i="8"/>
  <c r="BH97" i="8"/>
  <c r="BH96" i="8"/>
  <c r="BH95" i="8"/>
  <c r="BH94" i="8"/>
  <c r="BH93" i="8"/>
  <c r="BH92" i="8"/>
  <c r="BH91" i="8"/>
  <c r="BH83" i="8"/>
  <c r="BH82" i="8"/>
  <c r="BH81" i="8"/>
  <c r="BH80" i="8"/>
  <c r="BH79" i="8"/>
  <c r="BH78" i="8"/>
  <c r="BH77" i="8"/>
  <c r="BH76" i="8"/>
  <c r="BH75" i="8"/>
  <c r="BH74" i="8"/>
  <c r="BH73" i="8"/>
  <c r="BH72" i="8"/>
  <c r="BH71" i="8"/>
  <c r="BH70" i="8"/>
  <c r="BH69" i="8"/>
  <c r="BH68" i="8"/>
  <c r="BH67" i="8"/>
  <c r="BH66" i="8"/>
  <c r="BH65" i="8"/>
  <c r="BH64" i="8"/>
  <c r="BH57" i="8"/>
  <c r="BH56" i="8"/>
  <c r="BH55" i="8"/>
  <c r="BH54" i="8"/>
  <c r="BH53" i="8"/>
  <c r="BH52" i="8"/>
  <c r="BH51" i="8"/>
  <c r="BH50" i="8"/>
  <c r="BH49" i="8"/>
  <c r="BH48" i="8"/>
  <c r="BH47" i="8"/>
  <c r="BH46" i="8"/>
  <c r="BH45" i="8"/>
  <c r="BH44" i="8"/>
  <c r="BH43" i="8"/>
  <c r="BH42" i="8"/>
  <c r="BH41" i="8"/>
  <c r="BH40" i="8"/>
  <c r="BH39" i="8"/>
  <c r="BH38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AX326" i="8"/>
  <c r="AX325" i="8"/>
  <c r="AX324" i="8"/>
  <c r="AX323" i="8"/>
  <c r="AX322" i="8"/>
  <c r="AX321" i="8"/>
  <c r="AX320" i="8"/>
  <c r="AX319" i="8"/>
  <c r="AX318" i="8"/>
  <c r="AX317" i="8"/>
  <c r="AX316" i="8"/>
  <c r="AX315" i="8"/>
  <c r="AX314" i="8"/>
  <c r="AX313" i="8"/>
  <c r="AX312" i="8"/>
  <c r="AX311" i="8"/>
  <c r="AX310" i="8"/>
  <c r="AX309" i="8"/>
  <c r="AX308" i="8"/>
  <c r="AX307" i="8"/>
  <c r="AX299" i="8"/>
  <c r="AX298" i="8"/>
  <c r="AX297" i="8"/>
  <c r="AX296" i="8"/>
  <c r="AX295" i="8"/>
  <c r="AX294" i="8"/>
  <c r="AX293" i="8"/>
  <c r="AX292" i="8"/>
  <c r="AX291" i="8"/>
  <c r="AX290" i="8"/>
  <c r="AX289" i="8"/>
  <c r="AX288" i="8"/>
  <c r="AX287" i="8"/>
  <c r="AX286" i="8"/>
  <c r="AX285" i="8"/>
  <c r="AX284" i="8"/>
  <c r="AX283" i="8"/>
  <c r="AX282" i="8"/>
  <c r="AX281" i="8"/>
  <c r="AX280" i="8"/>
  <c r="AX272" i="8"/>
  <c r="AX271" i="8"/>
  <c r="AX270" i="8"/>
  <c r="AX269" i="8"/>
  <c r="AX268" i="8"/>
  <c r="AX267" i="8"/>
  <c r="AX266" i="8"/>
  <c r="AX265" i="8"/>
  <c r="AX264" i="8"/>
  <c r="AX263" i="8"/>
  <c r="AX262" i="8"/>
  <c r="AX261" i="8"/>
  <c r="AX260" i="8"/>
  <c r="AX259" i="8"/>
  <c r="AX258" i="8"/>
  <c r="AX257" i="8"/>
  <c r="AX256" i="8"/>
  <c r="AX255" i="8"/>
  <c r="AX254" i="8"/>
  <c r="AX253" i="8"/>
  <c r="AX245" i="8"/>
  <c r="AX244" i="8"/>
  <c r="AX243" i="8"/>
  <c r="AX242" i="8"/>
  <c r="AX241" i="8"/>
  <c r="AX240" i="8"/>
  <c r="AX239" i="8"/>
  <c r="AX238" i="8"/>
  <c r="AX237" i="8"/>
  <c r="AX236" i="8"/>
  <c r="AX235" i="8"/>
  <c r="AX234" i="8"/>
  <c r="AX233" i="8"/>
  <c r="AX232" i="8"/>
  <c r="AX231" i="8"/>
  <c r="AX230" i="8"/>
  <c r="AX229" i="8"/>
  <c r="AX228" i="8"/>
  <c r="AX227" i="8"/>
  <c r="AX226" i="8"/>
  <c r="AX218" i="8"/>
  <c r="AX217" i="8"/>
  <c r="AX216" i="8"/>
  <c r="AX215" i="8"/>
  <c r="AX214" i="8"/>
  <c r="AX213" i="8"/>
  <c r="AX212" i="8"/>
  <c r="AX211" i="8"/>
  <c r="AX210" i="8"/>
  <c r="AX209" i="8"/>
  <c r="AX208" i="8"/>
  <c r="AX207" i="8"/>
  <c r="AX206" i="8"/>
  <c r="AX205" i="8"/>
  <c r="AX204" i="8"/>
  <c r="AX203" i="8"/>
  <c r="AX202" i="8"/>
  <c r="AX201" i="8"/>
  <c r="AX200" i="8"/>
  <c r="AX199" i="8"/>
  <c r="AX191" i="8"/>
  <c r="AX190" i="8"/>
  <c r="AX189" i="8"/>
  <c r="AX188" i="8"/>
  <c r="AX187" i="8"/>
  <c r="AX186" i="8"/>
  <c r="AX185" i="8"/>
  <c r="AX184" i="8"/>
  <c r="AX183" i="8"/>
  <c r="AX182" i="8"/>
  <c r="AX181" i="8"/>
  <c r="AX180" i="8"/>
  <c r="AX179" i="8"/>
  <c r="AX178" i="8"/>
  <c r="AX177" i="8"/>
  <c r="AX176" i="8"/>
  <c r="AX175" i="8"/>
  <c r="AX174" i="8"/>
  <c r="AX173" i="8"/>
  <c r="AX172" i="8"/>
  <c r="AX164" i="8"/>
  <c r="AX163" i="8"/>
  <c r="AX162" i="8"/>
  <c r="AX161" i="8"/>
  <c r="AX160" i="8"/>
  <c r="AX159" i="8"/>
  <c r="AX158" i="8"/>
  <c r="AX157" i="8"/>
  <c r="AX156" i="8"/>
  <c r="AX155" i="8"/>
  <c r="AX154" i="8"/>
  <c r="AX153" i="8"/>
  <c r="AX152" i="8"/>
  <c r="AX151" i="8"/>
  <c r="AX150" i="8"/>
  <c r="AX149" i="8"/>
  <c r="AX148" i="8"/>
  <c r="AX147" i="8"/>
  <c r="AX146" i="8"/>
  <c r="AX145" i="8"/>
  <c r="AX137" i="8"/>
  <c r="AX136" i="8"/>
  <c r="AX135" i="8"/>
  <c r="AX134" i="8"/>
  <c r="AX133" i="8"/>
  <c r="AX132" i="8"/>
  <c r="AX131" i="8"/>
  <c r="AX130" i="8"/>
  <c r="AX129" i="8"/>
  <c r="AX128" i="8"/>
  <c r="AX127" i="8"/>
  <c r="AX126" i="8"/>
  <c r="AX125" i="8"/>
  <c r="AX124" i="8"/>
  <c r="AX123" i="8"/>
  <c r="AX122" i="8"/>
  <c r="AX121" i="8"/>
  <c r="AX120" i="8"/>
  <c r="AX119" i="8"/>
  <c r="AX118" i="8"/>
  <c r="AX110" i="8"/>
  <c r="AX109" i="8"/>
  <c r="AX108" i="8"/>
  <c r="AX107" i="8"/>
  <c r="AX106" i="8"/>
  <c r="AX105" i="8"/>
  <c r="AX104" i="8"/>
  <c r="AX103" i="8"/>
  <c r="AX102" i="8"/>
  <c r="AX101" i="8"/>
  <c r="AX100" i="8"/>
  <c r="AX99" i="8"/>
  <c r="AX98" i="8"/>
  <c r="AX97" i="8"/>
  <c r="AX96" i="8"/>
  <c r="AX95" i="8"/>
  <c r="AX94" i="8"/>
  <c r="AX93" i="8"/>
  <c r="AX92" i="8"/>
  <c r="AX91" i="8"/>
  <c r="AX83" i="8"/>
  <c r="AX82" i="8"/>
  <c r="AX81" i="8"/>
  <c r="AX80" i="8"/>
  <c r="AX79" i="8"/>
  <c r="AX78" i="8"/>
  <c r="AX77" i="8"/>
  <c r="AX76" i="8"/>
  <c r="AX75" i="8"/>
  <c r="AX74" i="8"/>
  <c r="AX73" i="8"/>
  <c r="AX72" i="8"/>
  <c r="AX71" i="8"/>
  <c r="AX70" i="8"/>
  <c r="AX69" i="8"/>
  <c r="AX68" i="8"/>
  <c r="AX67" i="8"/>
  <c r="AX66" i="8"/>
  <c r="AX65" i="8"/>
  <c r="AX64" i="8"/>
  <c r="AX57" i="8"/>
  <c r="AX56" i="8"/>
  <c r="AX55" i="8"/>
  <c r="AX54" i="8"/>
  <c r="AX53" i="8"/>
  <c r="AX52" i="8"/>
  <c r="AX51" i="8"/>
  <c r="AX50" i="8"/>
  <c r="AX49" i="8"/>
  <c r="AX48" i="8"/>
  <c r="AX47" i="8"/>
  <c r="AX46" i="8"/>
  <c r="AX45" i="8"/>
  <c r="AX44" i="8"/>
  <c r="AX43" i="8"/>
  <c r="AX42" i="8"/>
  <c r="AX41" i="8"/>
  <c r="AX40" i="8"/>
  <c r="AX39" i="8"/>
  <c r="AX38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S5" i="8"/>
  <c r="AN4" i="8"/>
  <c r="AP60" i="8" l="1"/>
  <c r="AN326" i="8"/>
  <c r="AN325" i="8"/>
  <c r="AN324" i="8"/>
  <c r="AN323" i="8"/>
  <c r="AN322" i="8"/>
  <c r="AN321" i="8"/>
  <c r="AN320" i="8"/>
  <c r="AN319" i="8"/>
  <c r="AN318" i="8"/>
  <c r="AN317" i="8"/>
  <c r="AN316" i="8"/>
  <c r="AN315" i="8"/>
  <c r="AN314" i="8"/>
  <c r="AN313" i="8"/>
  <c r="AN312" i="8"/>
  <c r="AN311" i="8"/>
  <c r="AN310" i="8"/>
  <c r="AN309" i="8"/>
  <c r="AN308" i="8"/>
  <c r="AN307" i="8"/>
  <c r="AN299" i="8"/>
  <c r="AN298" i="8"/>
  <c r="AN297" i="8"/>
  <c r="AN296" i="8"/>
  <c r="AN295" i="8"/>
  <c r="AN294" i="8"/>
  <c r="AN293" i="8"/>
  <c r="AN292" i="8"/>
  <c r="AN291" i="8"/>
  <c r="AN290" i="8"/>
  <c r="AN289" i="8"/>
  <c r="AN288" i="8"/>
  <c r="AN287" i="8"/>
  <c r="AN286" i="8"/>
  <c r="AN285" i="8"/>
  <c r="AN284" i="8"/>
  <c r="AN283" i="8"/>
  <c r="AN282" i="8"/>
  <c r="AN281" i="8"/>
  <c r="AN280" i="8"/>
  <c r="AN272" i="8"/>
  <c r="AN271" i="8"/>
  <c r="AN270" i="8"/>
  <c r="AN269" i="8"/>
  <c r="AN268" i="8"/>
  <c r="AN267" i="8"/>
  <c r="AN266" i="8"/>
  <c r="AN265" i="8"/>
  <c r="AN264" i="8"/>
  <c r="AN263" i="8"/>
  <c r="AN262" i="8"/>
  <c r="AN261" i="8"/>
  <c r="AN260" i="8"/>
  <c r="AN259" i="8"/>
  <c r="AN258" i="8"/>
  <c r="AN257" i="8"/>
  <c r="AN256" i="8"/>
  <c r="AN255" i="8"/>
  <c r="AN254" i="8"/>
  <c r="AN253" i="8"/>
  <c r="AN245" i="8"/>
  <c r="AN244" i="8"/>
  <c r="AN243" i="8"/>
  <c r="AN242" i="8"/>
  <c r="AN241" i="8"/>
  <c r="AN240" i="8"/>
  <c r="AN239" i="8"/>
  <c r="AN238" i="8"/>
  <c r="AN237" i="8"/>
  <c r="AN236" i="8"/>
  <c r="AN235" i="8"/>
  <c r="AN234" i="8"/>
  <c r="AN233" i="8"/>
  <c r="AN232" i="8"/>
  <c r="AN231" i="8"/>
  <c r="AN230" i="8"/>
  <c r="AN229" i="8"/>
  <c r="AN228" i="8"/>
  <c r="AN227" i="8"/>
  <c r="AN226" i="8"/>
  <c r="AN218" i="8"/>
  <c r="AN217" i="8"/>
  <c r="AN216" i="8"/>
  <c r="AN215" i="8"/>
  <c r="AN214" i="8"/>
  <c r="AN213" i="8"/>
  <c r="AN212" i="8"/>
  <c r="AN211" i="8"/>
  <c r="AN210" i="8"/>
  <c r="AN209" i="8"/>
  <c r="AN208" i="8"/>
  <c r="AN207" i="8"/>
  <c r="AN206" i="8"/>
  <c r="AN205" i="8"/>
  <c r="AN204" i="8"/>
  <c r="AN203" i="8"/>
  <c r="AN202" i="8"/>
  <c r="AN201" i="8"/>
  <c r="AN200" i="8"/>
  <c r="AN199" i="8"/>
  <c r="AN173" i="8"/>
  <c r="AO173" i="8" s="1"/>
  <c r="AP173" i="8" s="1"/>
  <c r="AN174" i="8"/>
  <c r="AO174" i="8" s="1"/>
  <c r="AP174" i="8" s="1"/>
  <c r="AN175" i="8"/>
  <c r="AO175" i="8" s="1"/>
  <c r="AP175" i="8" s="1"/>
  <c r="AN176" i="8"/>
  <c r="AO176" i="8" s="1"/>
  <c r="AP176" i="8" s="1"/>
  <c r="AN177" i="8"/>
  <c r="AO177" i="8" s="1"/>
  <c r="AP177" i="8" s="1"/>
  <c r="AN178" i="8"/>
  <c r="AO178" i="8" s="1"/>
  <c r="AP178" i="8" s="1"/>
  <c r="AN179" i="8"/>
  <c r="AO179" i="8" s="1"/>
  <c r="AP179" i="8" s="1"/>
  <c r="AN180" i="8"/>
  <c r="AO180" i="8" s="1"/>
  <c r="AP180" i="8" s="1"/>
  <c r="AN181" i="8"/>
  <c r="AO181" i="8" s="1"/>
  <c r="AP181" i="8" s="1"/>
  <c r="AN182" i="8"/>
  <c r="AO182" i="8" s="1"/>
  <c r="AP182" i="8" s="1"/>
  <c r="AN183" i="8"/>
  <c r="AO183" i="8" s="1"/>
  <c r="AP183" i="8" s="1"/>
  <c r="AN184" i="8"/>
  <c r="AO184" i="8" s="1"/>
  <c r="AP184" i="8" s="1"/>
  <c r="AN185" i="8"/>
  <c r="AO185" i="8" s="1"/>
  <c r="AP185" i="8" s="1"/>
  <c r="AN186" i="8"/>
  <c r="AO186" i="8" s="1"/>
  <c r="AP186" i="8" s="1"/>
  <c r="AN187" i="8"/>
  <c r="AO187" i="8" s="1"/>
  <c r="AP187" i="8" s="1"/>
  <c r="AN188" i="8"/>
  <c r="AO188" i="8" s="1"/>
  <c r="AP188" i="8" s="1"/>
  <c r="AN189" i="8"/>
  <c r="AO189" i="8" s="1"/>
  <c r="AP189" i="8" s="1"/>
  <c r="AN190" i="8"/>
  <c r="AO190" i="8" s="1"/>
  <c r="AP190" i="8" s="1"/>
  <c r="AN191" i="8"/>
  <c r="AO191" i="8" s="1"/>
  <c r="AP191" i="8" s="1"/>
  <c r="AN172" i="8"/>
  <c r="AN164" i="8"/>
  <c r="AN163" i="8"/>
  <c r="AN162" i="8"/>
  <c r="AN161" i="8"/>
  <c r="AN160" i="8"/>
  <c r="AN159" i="8"/>
  <c r="AN158" i="8"/>
  <c r="AN157" i="8"/>
  <c r="AN156" i="8"/>
  <c r="AN155" i="8"/>
  <c r="AN154" i="8"/>
  <c r="AN153" i="8"/>
  <c r="AN152" i="8"/>
  <c r="AN151" i="8"/>
  <c r="AN150" i="8"/>
  <c r="AN149" i="8"/>
  <c r="AN148" i="8"/>
  <c r="AN147" i="8"/>
  <c r="AN146" i="8"/>
  <c r="AN145" i="8"/>
  <c r="AN137" i="8"/>
  <c r="AO137" i="8" s="1"/>
  <c r="AP137" i="8" s="1"/>
  <c r="AN136" i="8"/>
  <c r="AO136" i="8" s="1"/>
  <c r="AP136" i="8" s="1"/>
  <c r="AN135" i="8"/>
  <c r="AO135" i="8" s="1"/>
  <c r="AP135" i="8" s="1"/>
  <c r="AN134" i="8"/>
  <c r="AO134" i="8" s="1"/>
  <c r="AP134" i="8" s="1"/>
  <c r="AN133" i="8"/>
  <c r="AO133" i="8" s="1"/>
  <c r="AP133" i="8" s="1"/>
  <c r="AN132" i="8"/>
  <c r="AO132" i="8" s="1"/>
  <c r="AP132" i="8" s="1"/>
  <c r="AN131" i="8"/>
  <c r="AO131" i="8" s="1"/>
  <c r="AP131" i="8" s="1"/>
  <c r="AN130" i="8"/>
  <c r="AO130" i="8" s="1"/>
  <c r="AP130" i="8" s="1"/>
  <c r="AN129" i="8"/>
  <c r="AO129" i="8" s="1"/>
  <c r="AP129" i="8" s="1"/>
  <c r="AN128" i="8"/>
  <c r="AO128" i="8" s="1"/>
  <c r="AP128" i="8" s="1"/>
  <c r="AN127" i="8"/>
  <c r="AO127" i="8" s="1"/>
  <c r="AP127" i="8" s="1"/>
  <c r="AN126" i="8"/>
  <c r="AO126" i="8" s="1"/>
  <c r="AP126" i="8" s="1"/>
  <c r="AN125" i="8"/>
  <c r="AO125" i="8" s="1"/>
  <c r="AP125" i="8" s="1"/>
  <c r="AN124" i="8"/>
  <c r="AO124" i="8" s="1"/>
  <c r="AP124" i="8" s="1"/>
  <c r="AN123" i="8"/>
  <c r="AO123" i="8" s="1"/>
  <c r="AP123" i="8" s="1"/>
  <c r="AN122" i="8"/>
  <c r="AO122" i="8" s="1"/>
  <c r="AP122" i="8" s="1"/>
  <c r="AN121" i="8"/>
  <c r="AO121" i="8" s="1"/>
  <c r="AP121" i="8" s="1"/>
  <c r="AN120" i="8"/>
  <c r="AO120" i="8" s="1"/>
  <c r="AP120" i="8" s="1"/>
  <c r="AN119" i="8"/>
  <c r="AO119" i="8" s="1"/>
  <c r="AP119" i="8" s="1"/>
  <c r="AN118" i="8"/>
  <c r="AO118" i="8" s="1"/>
  <c r="AP118" i="8" s="1"/>
  <c r="AN110" i="8"/>
  <c r="AN109" i="8"/>
  <c r="AN108" i="8"/>
  <c r="AN107" i="8"/>
  <c r="AN106" i="8"/>
  <c r="AN105" i="8"/>
  <c r="AN104" i="8"/>
  <c r="AN103" i="8"/>
  <c r="AN102" i="8"/>
  <c r="AN101" i="8"/>
  <c r="AN100" i="8"/>
  <c r="AN99" i="8"/>
  <c r="AN98" i="8"/>
  <c r="AN97" i="8"/>
  <c r="AN96" i="8"/>
  <c r="AN95" i="8"/>
  <c r="AN94" i="8"/>
  <c r="AN93" i="8"/>
  <c r="AN92" i="8"/>
  <c r="AN91" i="8"/>
  <c r="AN83" i="8"/>
  <c r="AO83" i="8" s="1"/>
  <c r="AP83" i="8" s="1"/>
  <c r="AN82" i="8"/>
  <c r="AO82" i="8" s="1"/>
  <c r="AP82" i="8" s="1"/>
  <c r="AN81" i="8"/>
  <c r="AO81" i="8" s="1"/>
  <c r="AP81" i="8" s="1"/>
  <c r="AN80" i="8"/>
  <c r="AO80" i="8" s="1"/>
  <c r="AP80" i="8" s="1"/>
  <c r="AN79" i="8"/>
  <c r="AO79" i="8" s="1"/>
  <c r="AP79" i="8" s="1"/>
  <c r="AN78" i="8"/>
  <c r="AO78" i="8" s="1"/>
  <c r="AP78" i="8" s="1"/>
  <c r="AN77" i="8"/>
  <c r="AO77" i="8" s="1"/>
  <c r="AP77" i="8" s="1"/>
  <c r="AN76" i="8"/>
  <c r="AO76" i="8" s="1"/>
  <c r="AP76" i="8" s="1"/>
  <c r="AN75" i="8"/>
  <c r="AO75" i="8" s="1"/>
  <c r="AP75" i="8" s="1"/>
  <c r="AN74" i="8"/>
  <c r="AO74" i="8" s="1"/>
  <c r="AP74" i="8" s="1"/>
  <c r="AN73" i="8"/>
  <c r="AO73" i="8" s="1"/>
  <c r="AP73" i="8" s="1"/>
  <c r="AN72" i="8"/>
  <c r="AO72" i="8" s="1"/>
  <c r="AP72" i="8" s="1"/>
  <c r="AN71" i="8"/>
  <c r="AO71" i="8" s="1"/>
  <c r="AP71" i="8" s="1"/>
  <c r="AN70" i="8"/>
  <c r="AO70" i="8" s="1"/>
  <c r="AP70" i="8" s="1"/>
  <c r="AN69" i="8"/>
  <c r="AO69" i="8" s="1"/>
  <c r="AP69" i="8" s="1"/>
  <c r="AN68" i="8"/>
  <c r="AO68" i="8" s="1"/>
  <c r="AP68" i="8" s="1"/>
  <c r="AN67" i="8"/>
  <c r="AO67" i="8" s="1"/>
  <c r="AP67" i="8" s="1"/>
  <c r="AN66" i="8"/>
  <c r="AO66" i="8" s="1"/>
  <c r="AP66" i="8" s="1"/>
  <c r="AN65" i="8"/>
  <c r="AO65" i="8" s="1"/>
  <c r="AP65" i="8" s="1"/>
  <c r="AN64" i="8"/>
  <c r="AO64" i="8" s="1"/>
  <c r="AP64" i="8" s="1"/>
  <c r="AN57" i="8"/>
  <c r="AN56" i="8"/>
  <c r="AO56" i="8" s="1"/>
  <c r="AP56" i="8" s="1"/>
  <c r="AN55" i="8"/>
  <c r="AO55" i="8" s="1"/>
  <c r="AP55" i="8" s="1"/>
  <c r="AN54" i="8"/>
  <c r="AO54" i="8" s="1"/>
  <c r="AP54" i="8" s="1"/>
  <c r="AN53" i="8"/>
  <c r="AO53" i="8" s="1"/>
  <c r="AP53" i="8" s="1"/>
  <c r="AN52" i="8"/>
  <c r="AO52" i="8" s="1"/>
  <c r="AP52" i="8" s="1"/>
  <c r="AN51" i="8"/>
  <c r="AO51" i="8" s="1"/>
  <c r="AP51" i="8" s="1"/>
  <c r="AN50" i="8"/>
  <c r="AO50" i="8" s="1"/>
  <c r="AP50" i="8" s="1"/>
  <c r="AN49" i="8"/>
  <c r="AO49" i="8" s="1"/>
  <c r="AP49" i="8" s="1"/>
  <c r="AN48" i="8"/>
  <c r="AO48" i="8" s="1"/>
  <c r="AP48" i="8" s="1"/>
  <c r="AN47" i="8"/>
  <c r="AO47" i="8" s="1"/>
  <c r="AP47" i="8" s="1"/>
  <c r="AN46" i="8"/>
  <c r="AO46" i="8" s="1"/>
  <c r="AP46" i="8" s="1"/>
  <c r="AN45" i="8"/>
  <c r="AO45" i="8" s="1"/>
  <c r="AP45" i="8" s="1"/>
  <c r="AN44" i="8"/>
  <c r="AO44" i="8" s="1"/>
  <c r="AP44" i="8" s="1"/>
  <c r="AN43" i="8"/>
  <c r="AO43" i="8" s="1"/>
  <c r="AP43" i="8" s="1"/>
  <c r="AN42" i="8"/>
  <c r="AO42" i="8" s="1"/>
  <c r="AP42" i="8" s="1"/>
  <c r="AN41" i="8"/>
  <c r="AO41" i="8" s="1"/>
  <c r="AP41" i="8" s="1"/>
  <c r="AN40" i="8"/>
  <c r="AO40" i="8" s="1"/>
  <c r="AP40" i="8" s="1"/>
  <c r="AN39" i="8"/>
  <c r="AO39" i="8" s="1"/>
  <c r="AP39" i="8" s="1"/>
  <c r="AN38" i="8"/>
  <c r="AO38" i="8" s="1"/>
  <c r="AP38" i="8" s="1"/>
  <c r="AV324" i="8" l="1"/>
  <c r="AW324" i="8" s="1"/>
  <c r="AY324" i="8" s="1"/>
  <c r="AZ324" i="8" s="1"/>
  <c r="AV319" i="8"/>
  <c r="AW319" i="8" s="1"/>
  <c r="AY319" i="8" s="1"/>
  <c r="AZ319" i="8" s="1"/>
  <c r="AV314" i="8"/>
  <c r="AW314" i="8" s="1"/>
  <c r="AY314" i="8" s="1"/>
  <c r="AZ314" i="8" s="1"/>
  <c r="AV291" i="8"/>
  <c r="AW291" i="8" s="1"/>
  <c r="AY291" i="8" s="1"/>
  <c r="AZ291" i="8" s="1"/>
  <c r="AV288" i="8"/>
  <c r="AW288" i="8" s="1"/>
  <c r="AY288" i="8" s="1"/>
  <c r="AZ288" i="8" s="1"/>
  <c r="AV280" i="8"/>
  <c r="AW280" i="8" s="1"/>
  <c r="AY280" i="8" s="1"/>
  <c r="AZ280" i="8" s="1"/>
  <c r="AV265" i="8"/>
  <c r="AW265" i="8" s="1"/>
  <c r="AY265" i="8" s="1"/>
  <c r="AZ265" i="8" s="1"/>
  <c r="AV262" i="8"/>
  <c r="AW262" i="8" s="1"/>
  <c r="AY262" i="8" s="1"/>
  <c r="AZ262" i="8" s="1"/>
  <c r="AV254" i="8"/>
  <c r="AW254" i="8" s="1"/>
  <c r="AY254" i="8" s="1"/>
  <c r="AZ254" i="8" s="1"/>
  <c r="AV239" i="8"/>
  <c r="AW239" i="8" s="1"/>
  <c r="AY239" i="8" s="1"/>
  <c r="AZ239" i="8" s="1"/>
  <c r="AV236" i="8"/>
  <c r="AW236" i="8" s="1"/>
  <c r="AY236" i="8" s="1"/>
  <c r="AZ236" i="8" s="1"/>
  <c r="AV210" i="8"/>
  <c r="AW210" i="8" s="1"/>
  <c r="AY210" i="8" s="1"/>
  <c r="AZ210" i="8" s="1"/>
  <c r="AV207" i="8"/>
  <c r="AW207" i="8" s="1"/>
  <c r="AY207" i="8" s="1"/>
  <c r="AZ207" i="8" s="1"/>
  <c r="AV199" i="8"/>
  <c r="AW199" i="8" s="1"/>
  <c r="AY199" i="8" s="1"/>
  <c r="AZ199" i="8" s="1"/>
  <c r="AV184" i="8"/>
  <c r="AW184" i="8" s="1"/>
  <c r="AY184" i="8" s="1"/>
  <c r="AZ184" i="8" s="1"/>
  <c r="AV181" i="8"/>
  <c r="AW181" i="8" s="1"/>
  <c r="AY181" i="8" s="1"/>
  <c r="AZ181" i="8" s="1"/>
  <c r="AV173" i="8"/>
  <c r="AW173" i="8" s="1"/>
  <c r="AY173" i="8" s="1"/>
  <c r="AZ173" i="8" s="1"/>
  <c r="AV158" i="8"/>
  <c r="AW158" i="8" s="1"/>
  <c r="AY158" i="8" s="1"/>
  <c r="AZ158" i="8" s="1"/>
  <c r="AV155" i="8"/>
  <c r="AW155" i="8" s="1"/>
  <c r="AY155" i="8" s="1"/>
  <c r="AZ155" i="8" s="1"/>
  <c r="AV130" i="8"/>
  <c r="AW130" i="8" s="1"/>
  <c r="AY130" i="8" s="1"/>
  <c r="AZ130" i="8" s="1"/>
  <c r="AV118" i="8"/>
  <c r="AW118" i="8" s="1"/>
  <c r="AY118" i="8" s="1"/>
  <c r="AZ118" i="8" s="1"/>
  <c r="AV103" i="8"/>
  <c r="AW103" i="8" s="1"/>
  <c r="AY103" i="8" s="1"/>
  <c r="AZ103" i="8" s="1"/>
  <c r="AV100" i="8"/>
  <c r="AW100" i="8" s="1"/>
  <c r="AY100" i="8" s="1"/>
  <c r="AZ100" i="8" s="1"/>
  <c r="AV92" i="8"/>
  <c r="AW92" i="8" s="1"/>
  <c r="AY92" i="8" s="1"/>
  <c r="AZ92" i="8" s="1"/>
  <c r="AV72" i="8"/>
  <c r="AW72" i="8" s="1"/>
  <c r="AY72" i="8" s="1"/>
  <c r="AZ72" i="8" s="1"/>
  <c r="AV321" i="8"/>
  <c r="AW321" i="8" s="1"/>
  <c r="AY321" i="8" s="1"/>
  <c r="AZ321" i="8" s="1"/>
  <c r="AV316" i="8"/>
  <c r="AW316" i="8" s="1"/>
  <c r="AY316" i="8" s="1"/>
  <c r="AZ316" i="8" s="1"/>
  <c r="AV311" i="8"/>
  <c r="AW311" i="8" s="1"/>
  <c r="AY311" i="8" s="1"/>
  <c r="AZ311" i="8" s="1"/>
  <c r="AV299" i="8"/>
  <c r="AW299" i="8" s="1"/>
  <c r="AY299" i="8" s="1"/>
  <c r="AZ299" i="8" s="1"/>
  <c r="AV296" i="8"/>
  <c r="AW296" i="8" s="1"/>
  <c r="AY296" i="8" s="1"/>
  <c r="AZ296" i="8" s="1"/>
  <c r="AV285" i="8"/>
  <c r="AW285" i="8" s="1"/>
  <c r="AY285" i="8" s="1"/>
  <c r="AZ285" i="8" s="1"/>
  <c r="AV282" i="8"/>
  <c r="AW282" i="8" s="1"/>
  <c r="AY282" i="8" s="1"/>
  <c r="AZ282" i="8" s="1"/>
  <c r="AV270" i="8"/>
  <c r="AW270" i="8" s="1"/>
  <c r="AY270" i="8" s="1"/>
  <c r="AZ270" i="8" s="1"/>
  <c r="AV267" i="8"/>
  <c r="AW267" i="8" s="1"/>
  <c r="AY267" i="8" s="1"/>
  <c r="AZ267" i="8" s="1"/>
  <c r="AV259" i="8"/>
  <c r="AW259" i="8" s="1"/>
  <c r="AY259" i="8" s="1"/>
  <c r="AZ259" i="8" s="1"/>
  <c r="AV256" i="8"/>
  <c r="AW256" i="8" s="1"/>
  <c r="AY256" i="8" s="1"/>
  <c r="AZ256" i="8" s="1"/>
  <c r="AV244" i="8"/>
  <c r="AW244" i="8" s="1"/>
  <c r="AY244" i="8" s="1"/>
  <c r="AZ244" i="8" s="1"/>
  <c r="AV241" i="8"/>
  <c r="AW241" i="8" s="1"/>
  <c r="AY241" i="8" s="1"/>
  <c r="AZ241" i="8" s="1"/>
  <c r="AV233" i="8"/>
  <c r="AW233" i="8" s="1"/>
  <c r="AY233" i="8" s="1"/>
  <c r="AZ233" i="8" s="1"/>
  <c r="AV230" i="8"/>
  <c r="AW230" i="8" s="1"/>
  <c r="AY230" i="8" s="1"/>
  <c r="AZ230" i="8" s="1"/>
  <c r="AV218" i="8"/>
  <c r="AW218" i="8" s="1"/>
  <c r="AY218" i="8" s="1"/>
  <c r="AZ218" i="8" s="1"/>
  <c r="AV215" i="8"/>
  <c r="AW215" i="8" s="1"/>
  <c r="AY215" i="8" s="1"/>
  <c r="AZ215" i="8" s="1"/>
  <c r="AV204" i="8"/>
  <c r="AW204" i="8" s="1"/>
  <c r="AY204" i="8" s="1"/>
  <c r="AZ204" i="8" s="1"/>
  <c r="AV201" i="8"/>
  <c r="AW201" i="8" s="1"/>
  <c r="AY201" i="8" s="1"/>
  <c r="AZ201" i="8" s="1"/>
  <c r="AV189" i="8"/>
  <c r="AW189" i="8" s="1"/>
  <c r="AY189" i="8" s="1"/>
  <c r="AZ189" i="8" s="1"/>
  <c r="AV186" i="8"/>
  <c r="AW186" i="8" s="1"/>
  <c r="AY186" i="8" s="1"/>
  <c r="AZ186" i="8" s="1"/>
  <c r="AV178" i="8"/>
  <c r="AW178" i="8" s="1"/>
  <c r="AY178" i="8" s="1"/>
  <c r="AZ178" i="8" s="1"/>
  <c r="AV175" i="8"/>
  <c r="AW175" i="8" s="1"/>
  <c r="AY175" i="8" s="1"/>
  <c r="AZ175" i="8" s="1"/>
  <c r="AV163" i="8"/>
  <c r="AW163" i="8" s="1"/>
  <c r="AY163" i="8" s="1"/>
  <c r="AZ163" i="8" s="1"/>
  <c r="AV326" i="8"/>
  <c r="AW326" i="8" s="1"/>
  <c r="AY326" i="8" s="1"/>
  <c r="AZ326" i="8" s="1"/>
  <c r="AV318" i="8"/>
  <c r="AW318" i="8" s="1"/>
  <c r="AY318" i="8" s="1"/>
  <c r="AZ318" i="8" s="1"/>
  <c r="AV313" i="8"/>
  <c r="AW313" i="8" s="1"/>
  <c r="AY313" i="8" s="1"/>
  <c r="AZ313" i="8" s="1"/>
  <c r="AV308" i="8"/>
  <c r="AW308" i="8" s="1"/>
  <c r="AY308" i="8" s="1"/>
  <c r="AZ308" i="8" s="1"/>
  <c r="AV293" i="8"/>
  <c r="AW293" i="8" s="1"/>
  <c r="AY293" i="8" s="1"/>
  <c r="AZ293" i="8" s="1"/>
  <c r="AV290" i="8"/>
  <c r="AW290" i="8" s="1"/>
  <c r="AY290" i="8" s="1"/>
  <c r="AZ290" i="8" s="1"/>
  <c r="AV264" i="8"/>
  <c r="AW264" i="8" s="1"/>
  <c r="AY264" i="8" s="1"/>
  <c r="AZ264" i="8" s="1"/>
  <c r="AV261" i="8"/>
  <c r="AW261" i="8" s="1"/>
  <c r="AY261" i="8" s="1"/>
  <c r="AZ261" i="8" s="1"/>
  <c r="AV253" i="8"/>
  <c r="AW253" i="8" s="1"/>
  <c r="AY253" i="8" s="1"/>
  <c r="AZ253" i="8" s="1"/>
  <c r="AV238" i="8"/>
  <c r="AW238" i="8" s="1"/>
  <c r="AY238" i="8" s="1"/>
  <c r="AZ238" i="8" s="1"/>
  <c r="AV235" i="8"/>
  <c r="AW235" i="8" s="1"/>
  <c r="AY235" i="8" s="1"/>
  <c r="AZ235" i="8" s="1"/>
  <c r="AV227" i="8"/>
  <c r="AW227" i="8" s="1"/>
  <c r="AY227" i="8" s="1"/>
  <c r="AZ227" i="8" s="1"/>
  <c r="AV212" i="8"/>
  <c r="AW212" i="8" s="1"/>
  <c r="AY212" i="8" s="1"/>
  <c r="AZ212" i="8" s="1"/>
  <c r="AV209" i="8"/>
  <c r="AW209" i="8" s="1"/>
  <c r="AY209" i="8" s="1"/>
  <c r="AZ209" i="8" s="1"/>
  <c r="AV183" i="8"/>
  <c r="AW183" i="8" s="1"/>
  <c r="AY183" i="8" s="1"/>
  <c r="AZ183" i="8" s="1"/>
  <c r="AV180" i="8"/>
  <c r="AW180" i="8" s="1"/>
  <c r="AY180" i="8" s="1"/>
  <c r="AZ180" i="8" s="1"/>
  <c r="AV172" i="8"/>
  <c r="AW172" i="8" s="1"/>
  <c r="AY172" i="8" s="1"/>
  <c r="AZ172" i="8" s="1"/>
  <c r="AV323" i="8"/>
  <c r="AW323" i="8" s="1"/>
  <c r="AY323" i="8" s="1"/>
  <c r="AZ323" i="8" s="1"/>
  <c r="AV315" i="8"/>
  <c r="AW315" i="8" s="1"/>
  <c r="AY315" i="8" s="1"/>
  <c r="AZ315" i="8" s="1"/>
  <c r="AV310" i="8"/>
  <c r="AW310" i="8" s="1"/>
  <c r="AY310" i="8" s="1"/>
  <c r="AZ310" i="8" s="1"/>
  <c r="AV298" i="8"/>
  <c r="AW298" i="8" s="1"/>
  <c r="AY298" i="8" s="1"/>
  <c r="AZ298" i="8" s="1"/>
  <c r="AV295" i="8"/>
  <c r="AW295" i="8" s="1"/>
  <c r="AY295" i="8" s="1"/>
  <c r="AZ295" i="8" s="1"/>
  <c r="AV287" i="8"/>
  <c r="AW287" i="8" s="1"/>
  <c r="AY287" i="8" s="1"/>
  <c r="AZ287" i="8" s="1"/>
  <c r="AV284" i="8"/>
  <c r="AW284" i="8" s="1"/>
  <c r="AY284" i="8" s="1"/>
  <c r="AZ284" i="8" s="1"/>
  <c r="AV272" i="8"/>
  <c r="AW272" i="8" s="1"/>
  <c r="AY272" i="8" s="1"/>
  <c r="AZ272" i="8" s="1"/>
  <c r="AV269" i="8"/>
  <c r="AW269" i="8" s="1"/>
  <c r="AY269" i="8" s="1"/>
  <c r="AZ269" i="8" s="1"/>
  <c r="AV258" i="8"/>
  <c r="AW258" i="8" s="1"/>
  <c r="AY258" i="8" s="1"/>
  <c r="AZ258" i="8" s="1"/>
  <c r="AV255" i="8"/>
  <c r="AW255" i="8" s="1"/>
  <c r="AY255" i="8" s="1"/>
  <c r="AZ255" i="8" s="1"/>
  <c r="AV243" i="8"/>
  <c r="AW243" i="8" s="1"/>
  <c r="AY243" i="8" s="1"/>
  <c r="AZ243" i="8" s="1"/>
  <c r="AV240" i="8"/>
  <c r="AW240" i="8" s="1"/>
  <c r="AY240" i="8" s="1"/>
  <c r="AZ240" i="8" s="1"/>
  <c r="AV232" i="8"/>
  <c r="AW232" i="8" s="1"/>
  <c r="AY232" i="8" s="1"/>
  <c r="AZ232" i="8" s="1"/>
  <c r="AV229" i="8"/>
  <c r="AW229" i="8" s="1"/>
  <c r="AY229" i="8" s="1"/>
  <c r="AZ229" i="8" s="1"/>
  <c r="AV217" i="8"/>
  <c r="AW217" i="8" s="1"/>
  <c r="AY217" i="8" s="1"/>
  <c r="AZ217" i="8" s="1"/>
  <c r="AV214" i="8"/>
  <c r="AW214" i="8" s="1"/>
  <c r="AY214" i="8" s="1"/>
  <c r="AZ214" i="8" s="1"/>
  <c r="AV206" i="8"/>
  <c r="AW206" i="8" s="1"/>
  <c r="AY206" i="8" s="1"/>
  <c r="AZ206" i="8" s="1"/>
  <c r="AV203" i="8"/>
  <c r="AW203" i="8" s="1"/>
  <c r="AY203" i="8" s="1"/>
  <c r="AZ203" i="8" s="1"/>
  <c r="AV191" i="8"/>
  <c r="AW191" i="8" s="1"/>
  <c r="AY191" i="8" s="1"/>
  <c r="AZ191" i="8" s="1"/>
  <c r="AV188" i="8"/>
  <c r="AW188" i="8" s="1"/>
  <c r="AY188" i="8" s="1"/>
  <c r="AZ188" i="8" s="1"/>
  <c r="AV177" i="8"/>
  <c r="AW177" i="8" s="1"/>
  <c r="AY177" i="8" s="1"/>
  <c r="AZ177" i="8" s="1"/>
  <c r="AV174" i="8"/>
  <c r="AW174" i="8" s="1"/>
  <c r="AY174" i="8" s="1"/>
  <c r="AZ174" i="8" s="1"/>
  <c r="AV162" i="8"/>
  <c r="AW162" i="8" s="1"/>
  <c r="AY162" i="8" s="1"/>
  <c r="AZ162" i="8" s="1"/>
  <c r="AV159" i="8"/>
  <c r="AW159" i="8" s="1"/>
  <c r="AY159" i="8" s="1"/>
  <c r="AZ159" i="8" s="1"/>
  <c r="AV151" i="8"/>
  <c r="AW151" i="8" s="1"/>
  <c r="AY151" i="8" s="1"/>
  <c r="AZ151" i="8" s="1"/>
  <c r="AV148" i="8"/>
  <c r="AW148" i="8" s="1"/>
  <c r="AY148" i="8" s="1"/>
  <c r="AZ148" i="8" s="1"/>
  <c r="AV136" i="8"/>
  <c r="AW136" i="8" s="1"/>
  <c r="AY136" i="8" s="1"/>
  <c r="AZ136" i="8" s="1"/>
  <c r="AV124" i="8"/>
  <c r="AW124" i="8" s="1"/>
  <c r="AY124" i="8" s="1"/>
  <c r="AZ124" i="8" s="1"/>
  <c r="AV110" i="8"/>
  <c r="AW110" i="8" s="1"/>
  <c r="AY110" i="8" s="1"/>
  <c r="AZ110" i="8" s="1"/>
  <c r="AV107" i="8"/>
  <c r="AW107" i="8" s="1"/>
  <c r="AY107" i="8" s="1"/>
  <c r="AZ107" i="8" s="1"/>
  <c r="AV96" i="8"/>
  <c r="AW96" i="8" s="1"/>
  <c r="AY96" i="8" s="1"/>
  <c r="AZ96" i="8" s="1"/>
  <c r="AV93" i="8"/>
  <c r="AW93" i="8" s="1"/>
  <c r="AY93" i="8" s="1"/>
  <c r="AZ93" i="8" s="1"/>
  <c r="AV81" i="8"/>
  <c r="AW81" i="8" s="1"/>
  <c r="AY81" i="8" s="1"/>
  <c r="AZ81" i="8" s="1"/>
  <c r="AV78" i="8"/>
  <c r="AW78" i="8" s="1"/>
  <c r="AY78" i="8" s="1"/>
  <c r="AZ78" i="8" s="1"/>
  <c r="AV66" i="8"/>
  <c r="AW66" i="8" s="1"/>
  <c r="AY66" i="8" s="1"/>
  <c r="AZ66" i="8" s="1"/>
  <c r="AV322" i="8"/>
  <c r="AW322" i="8" s="1"/>
  <c r="AY322" i="8" s="1"/>
  <c r="AZ322" i="8" s="1"/>
  <c r="AV294" i="8"/>
  <c r="AW294" i="8" s="1"/>
  <c r="AY294" i="8" s="1"/>
  <c r="AZ294" i="8" s="1"/>
  <c r="AV281" i="8"/>
  <c r="AW281" i="8" s="1"/>
  <c r="AY281" i="8" s="1"/>
  <c r="AZ281" i="8" s="1"/>
  <c r="AV257" i="8"/>
  <c r="AW257" i="8" s="1"/>
  <c r="AY257" i="8" s="1"/>
  <c r="AZ257" i="8" s="1"/>
  <c r="AV242" i="8"/>
  <c r="AW242" i="8" s="1"/>
  <c r="AY242" i="8" s="1"/>
  <c r="AZ242" i="8" s="1"/>
  <c r="AV213" i="8"/>
  <c r="AW213" i="8" s="1"/>
  <c r="AY213" i="8" s="1"/>
  <c r="AZ213" i="8" s="1"/>
  <c r="AV200" i="8"/>
  <c r="AW200" i="8" s="1"/>
  <c r="AY200" i="8" s="1"/>
  <c r="AZ200" i="8" s="1"/>
  <c r="AV176" i="8"/>
  <c r="AW176" i="8" s="1"/>
  <c r="AY176" i="8" s="1"/>
  <c r="AZ176" i="8" s="1"/>
  <c r="AV161" i="8"/>
  <c r="AW161" i="8" s="1"/>
  <c r="AY161" i="8" s="1"/>
  <c r="AZ161" i="8" s="1"/>
  <c r="AV154" i="8"/>
  <c r="AW154" i="8" s="1"/>
  <c r="AY154" i="8" s="1"/>
  <c r="AZ154" i="8" s="1"/>
  <c r="AV147" i="8"/>
  <c r="AW147" i="8" s="1"/>
  <c r="AY147" i="8" s="1"/>
  <c r="AZ147" i="8" s="1"/>
  <c r="AV134" i="8"/>
  <c r="AW134" i="8" s="1"/>
  <c r="AY134" i="8" s="1"/>
  <c r="AZ134" i="8" s="1"/>
  <c r="AV132" i="8"/>
  <c r="AW132" i="8" s="1"/>
  <c r="AY132" i="8" s="1"/>
  <c r="AZ132" i="8" s="1"/>
  <c r="AV123" i="8"/>
  <c r="AW123" i="8" s="1"/>
  <c r="AY123" i="8" s="1"/>
  <c r="AZ123" i="8" s="1"/>
  <c r="AV121" i="8"/>
  <c r="AW121" i="8" s="1"/>
  <c r="AY121" i="8" s="1"/>
  <c r="AZ121" i="8" s="1"/>
  <c r="AV104" i="8"/>
  <c r="AW104" i="8" s="1"/>
  <c r="AY104" i="8" s="1"/>
  <c r="AZ104" i="8" s="1"/>
  <c r="AV94" i="8"/>
  <c r="AW94" i="8" s="1"/>
  <c r="AY94" i="8" s="1"/>
  <c r="AZ94" i="8" s="1"/>
  <c r="AV80" i="8"/>
  <c r="AW80" i="8" s="1"/>
  <c r="AY80" i="8" s="1"/>
  <c r="AZ80" i="8" s="1"/>
  <c r="AV74" i="8"/>
  <c r="AW74" i="8" s="1"/>
  <c r="AY74" i="8" s="1"/>
  <c r="AZ74" i="8" s="1"/>
  <c r="AV68" i="8"/>
  <c r="AW68" i="8" s="1"/>
  <c r="AY68" i="8" s="1"/>
  <c r="AZ68" i="8" s="1"/>
  <c r="AV51" i="8"/>
  <c r="AW51" i="8" s="1"/>
  <c r="AY51" i="8" s="1"/>
  <c r="AZ51" i="8" s="1"/>
  <c r="AV48" i="8"/>
  <c r="AW48" i="8" s="1"/>
  <c r="AY48" i="8" s="1"/>
  <c r="AZ48" i="8" s="1"/>
  <c r="AV56" i="8"/>
  <c r="AW56" i="8" s="1"/>
  <c r="AY56" i="8" s="1"/>
  <c r="AZ56" i="8" s="1"/>
  <c r="AV42" i="8"/>
  <c r="AW42" i="8" s="1"/>
  <c r="AY42" i="8" s="1"/>
  <c r="AZ42" i="8" s="1"/>
  <c r="AV108" i="8"/>
  <c r="AW108" i="8" s="1"/>
  <c r="AY108" i="8" s="1"/>
  <c r="AZ108" i="8" s="1"/>
  <c r="AV91" i="8"/>
  <c r="AW91" i="8" s="1"/>
  <c r="AY91" i="8" s="1"/>
  <c r="AZ91" i="8" s="1"/>
  <c r="AV71" i="8"/>
  <c r="AW71" i="8" s="1"/>
  <c r="AY71" i="8" s="1"/>
  <c r="AZ71" i="8" s="1"/>
  <c r="AV57" i="8"/>
  <c r="AW57" i="8" s="1"/>
  <c r="AY57" i="8" s="1"/>
  <c r="AZ57" i="8" s="1"/>
  <c r="AV309" i="8"/>
  <c r="AW309" i="8" s="1"/>
  <c r="AY309" i="8" s="1"/>
  <c r="AZ309" i="8" s="1"/>
  <c r="AV289" i="8"/>
  <c r="AW289" i="8" s="1"/>
  <c r="AY289" i="8" s="1"/>
  <c r="AZ289" i="8" s="1"/>
  <c r="AV237" i="8"/>
  <c r="AW237" i="8" s="1"/>
  <c r="AY237" i="8" s="1"/>
  <c r="AZ237" i="8" s="1"/>
  <c r="AV228" i="8"/>
  <c r="AW228" i="8" s="1"/>
  <c r="AY228" i="8" s="1"/>
  <c r="AZ228" i="8" s="1"/>
  <c r="AV208" i="8"/>
  <c r="AW208" i="8" s="1"/>
  <c r="AY208" i="8" s="1"/>
  <c r="AZ208" i="8" s="1"/>
  <c r="AV157" i="8"/>
  <c r="AW157" i="8" s="1"/>
  <c r="AY157" i="8" s="1"/>
  <c r="AZ157" i="8" s="1"/>
  <c r="AV150" i="8"/>
  <c r="AW150" i="8" s="1"/>
  <c r="AY150" i="8" s="1"/>
  <c r="AZ150" i="8" s="1"/>
  <c r="AV137" i="8"/>
  <c r="AW137" i="8" s="1"/>
  <c r="AY137" i="8" s="1"/>
  <c r="AZ137" i="8" s="1"/>
  <c r="AV128" i="8"/>
  <c r="AW128" i="8" s="1"/>
  <c r="AY128" i="8" s="1"/>
  <c r="AZ128" i="8" s="1"/>
  <c r="AV126" i="8"/>
  <c r="AW126" i="8" s="1"/>
  <c r="AY126" i="8" s="1"/>
  <c r="AZ126" i="8" s="1"/>
  <c r="AV97" i="8"/>
  <c r="AW97" i="8" s="1"/>
  <c r="AY97" i="8" s="1"/>
  <c r="AZ97" i="8" s="1"/>
  <c r="AV83" i="8"/>
  <c r="AW83" i="8" s="1"/>
  <c r="AY83" i="8" s="1"/>
  <c r="AZ83" i="8" s="1"/>
  <c r="AV53" i="8"/>
  <c r="AW53" i="8" s="1"/>
  <c r="AY53" i="8" s="1"/>
  <c r="AZ53" i="8" s="1"/>
  <c r="AV45" i="8"/>
  <c r="AW45" i="8" s="1"/>
  <c r="AY45" i="8" s="1"/>
  <c r="AZ45" i="8" s="1"/>
  <c r="AV101" i="8"/>
  <c r="AW101" i="8" s="1"/>
  <c r="AY101" i="8" s="1"/>
  <c r="AZ101" i="8" s="1"/>
  <c r="AV77" i="8"/>
  <c r="AW77" i="8" s="1"/>
  <c r="AY77" i="8" s="1"/>
  <c r="AZ77" i="8" s="1"/>
  <c r="AV43" i="8"/>
  <c r="AW43" i="8" s="1"/>
  <c r="AY43" i="8" s="1"/>
  <c r="AZ43" i="8" s="1"/>
  <c r="AV325" i="8"/>
  <c r="AW325" i="8" s="1"/>
  <c r="AY325" i="8" s="1"/>
  <c r="AZ325" i="8" s="1"/>
  <c r="AV317" i="8"/>
  <c r="AW317" i="8" s="1"/>
  <c r="AY317" i="8" s="1"/>
  <c r="AZ317" i="8" s="1"/>
  <c r="AV297" i="8"/>
  <c r="AW297" i="8" s="1"/>
  <c r="AY297" i="8" s="1"/>
  <c r="AZ297" i="8" s="1"/>
  <c r="AV268" i="8"/>
  <c r="AW268" i="8" s="1"/>
  <c r="AY268" i="8" s="1"/>
  <c r="AZ268" i="8" s="1"/>
  <c r="AV260" i="8"/>
  <c r="AW260" i="8" s="1"/>
  <c r="AY260" i="8" s="1"/>
  <c r="AZ260" i="8" s="1"/>
  <c r="AV245" i="8"/>
  <c r="AW245" i="8" s="1"/>
  <c r="AY245" i="8" s="1"/>
  <c r="AZ245" i="8" s="1"/>
  <c r="AV216" i="8"/>
  <c r="AW216" i="8" s="1"/>
  <c r="AY216" i="8" s="1"/>
  <c r="AZ216" i="8" s="1"/>
  <c r="AV187" i="8"/>
  <c r="AW187" i="8" s="1"/>
  <c r="AY187" i="8" s="1"/>
  <c r="AZ187" i="8" s="1"/>
  <c r="AV179" i="8"/>
  <c r="AW179" i="8" s="1"/>
  <c r="AY179" i="8" s="1"/>
  <c r="AZ179" i="8" s="1"/>
  <c r="AV164" i="8"/>
  <c r="AW164" i="8" s="1"/>
  <c r="AY164" i="8" s="1"/>
  <c r="AZ164" i="8" s="1"/>
  <c r="AV160" i="8"/>
  <c r="AW160" i="8" s="1"/>
  <c r="AY160" i="8" s="1"/>
  <c r="AZ160" i="8" s="1"/>
  <c r="AV153" i="8"/>
  <c r="AW153" i="8" s="1"/>
  <c r="AY153" i="8" s="1"/>
  <c r="AZ153" i="8" s="1"/>
  <c r="AV131" i="8"/>
  <c r="AW131" i="8" s="1"/>
  <c r="AY131" i="8" s="1"/>
  <c r="AZ131" i="8" s="1"/>
  <c r="AV122" i="8"/>
  <c r="AW122" i="8" s="1"/>
  <c r="AY122" i="8" s="1"/>
  <c r="AZ122" i="8" s="1"/>
  <c r="AV120" i="8"/>
  <c r="AW120" i="8" s="1"/>
  <c r="AY120" i="8" s="1"/>
  <c r="AZ120" i="8" s="1"/>
  <c r="AV106" i="8"/>
  <c r="AW106" i="8" s="1"/>
  <c r="AY106" i="8" s="1"/>
  <c r="AZ106" i="8" s="1"/>
  <c r="AV99" i="8"/>
  <c r="AW99" i="8" s="1"/>
  <c r="AY99" i="8" s="1"/>
  <c r="AZ99" i="8" s="1"/>
  <c r="AV79" i="8"/>
  <c r="AW79" i="8" s="1"/>
  <c r="AY79" i="8" s="1"/>
  <c r="AZ79" i="8" s="1"/>
  <c r="AV76" i="8"/>
  <c r="AW76" i="8" s="1"/>
  <c r="AY76" i="8" s="1"/>
  <c r="AZ76" i="8" s="1"/>
  <c r="AV73" i="8"/>
  <c r="AW73" i="8" s="1"/>
  <c r="AY73" i="8" s="1"/>
  <c r="AZ73" i="8" s="1"/>
  <c r="AV70" i="8"/>
  <c r="AW70" i="8" s="1"/>
  <c r="AY70" i="8" s="1"/>
  <c r="AZ70" i="8" s="1"/>
  <c r="AV67" i="8"/>
  <c r="AW67" i="8" s="1"/>
  <c r="AY67" i="8" s="1"/>
  <c r="AZ67" i="8" s="1"/>
  <c r="AV64" i="8"/>
  <c r="AW64" i="8" s="1"/>
  <c r="AY64" i="8" s="1"/>
  <c r="AZ64" i="8" s="1"/>
  <c r="AV50" i="8"/>
  <c r="AW50" i="8" s="1"/>
  <c r="AY50" i="8" s="1"/>
  <c r="AZ50" i="8" s="1"/>
  <c r="AV47" i="8"/>
  <c r="AW47" i="8" s="1"/>
  <c r="AY47" i="8" s="1"/>
  <c r="AZ47" i="8" s="1"/>
  <c r="AV39" i="8"/>
  <c r="AW39" i="8" s="1"/>
  <c r="AY39" i="8" s="1"/>
  <c r="AZ39" i="8" s="1"/>
  <c r="AV127" i="8"/>
  <c r="AW127" i="8" s="1"/>
  <c r="AY127" i="8" s="1"/>
  <c r="AZ127" i="8" s="1"/>
  <c r="AV98" i="8"/>
  <c r="AW98" i="8" s="1"/>
  <c r="AY98" i="8" s="1"/>
  <c r="AZ98" i="8" s="1"/>
  <c r="AV65" i="8"/>
  <c r="AW65" i="8" s="1"/>
  <c r="AY65" i="8" s="1"/>
  <c r="AZ65" i="8" s="1"/>
  <c r="AV320" i="8"/>
  <c r="AW320" i="8" s="1"/>
  <c r="AY320" i="8" s="1"/>
  <c r="AZ320" i="8" s="1"/>
  <c r="AV312" i="8"/>
  <c r="AW312" i="8" s="1"/>
  <c r="AY312" i="8" s="1"/>
  <c r="AZ312" i="8" s="1"/>
  <c r="AV292" i="8"/>
  <c r="AW292" i="8" s="1"/>
  <c r="AY292" i="8" s="1"/>
  <c r="AZ292" i="8" s="1"/>
  <c r="AV283" i="8"/>
  <c r="AW283" i="8" s="1"/>
  <c r="AY283" i="8" s="1"/>
  <c r="AZ283" i="8" s="1"/>
  <c r="AV263" i="8"/>
  <c r="AW263" i="8" s="1"/>
  <c r="AY263" i="8" s="1"/>
  <c r="AZ263" i="8" s="1"/>
  <c r="AV231" i="8"/>
  <c r="AW231" i="8" s="1"/>
  <c r="AY231" i="8" s="1"/>
  <c r="AZ231" i="8" s="1"/>
  <c r="AV211" i="8"/>
  <c r="AW211" i="8" s="1"/>
  <c r="AY211" i="8" s="1"/>
  <c r="AZ211" i="8" s="1"/>
  <c r="AV202" i="8"/>
  <c r="AW202" i="8" s="1"/>
  <c r="AY202" i="8" s="1"/>
  <c r="AZ202" i="8" s="1"/>
  <c r="AV182" i="8"/>
  <c r="AW182" i="8" s="1"/>
  <c r="AY182" i="8" s="1"/>
  <c r="AZ182" i="8" s="1"/>
  <c r="AV156" i="8"/>
  <c r="AW156" i="8" s="1"/>
  <c r="AY156" i="8" s="1"/>
  <c r="AZ156" i="8" s="1"/>
  <c r="AV149" i="8"/>
  <c r="AW149" i="8" s="1"/>
  <c r="AY149" i="8" s="1"/>
  <c r="AZ149" i="8" s="1"/>
  <c r="AV146" i="8"/>
  <c r="AW146" i="8" s="1"/>
  <c r="AY146" i="8" s="1"/>
  <c r="AZ146" i="8" s="1"/>
  <c r="AV125" i="8"/>
  <c r="AW125" i="8" s="1"/>
  <c r="AY125" i="8" s="1"/>
  <c r="AZ125" i="8" s="1"/>
  <c r="AV109" i="8"/>
  <c r="AW109" i="8" s="1"/>
  <c r="AY109" i="8" s="1"/>
  <c r="AZ109" i="8" s="1"/>
  <c r="AV102" i="8"/>
  <c r="AW102" i="8" s="1"/>
  <c r="AY102" i="8" s="1"/>
  <c r="AZ102" i="8" s="1"/>
  <c r="AV82" i="8"/>
  <c r="AW82" i="8" s="1"/>
  <c r="AY82" i="8" s="1"/>
  <c r="AZ82" i="8" s="1"/>
  <c r="AV55" i="8"/>
  <c r="AW55" i="8" s="1"/>
  <c r="AY55" i="8" s="1"/>
  <c r="AZ55" i="8" s="1"/>
  <c r="AV52" i="8"/>
  <c r="AW52" i="8" s="1"/>
  <c r="AY52" i="8" s="1"/>
  <c r="AZ52" i="8" s="1"/>
  <c r="AV44" i="8"/>
  <c r="AW44" i="8" s="1"/>
  <c r="AY44" i="8" s="1"/>
  <c r="AZ44" i="8" s="1"/>
  <c r="AV41" i="8"/>
  <c r="AW41" i="8" s="1"/>
  <c r="AY41" i="8" s="1"/>
  <c r="AZ41" i="8" s="1"/>
  <c r="AV307" i="8"/>
  <c r="AW307" i="8" s="1"/>
  <c r="AY307" i="8" s="1"/>
  <c r="AZ307" i="8" s="1"/>
  <c r="AV271" i="8"/>
  <c r="AW271" i="8" s="1"/>
  <c r="AY271" i="8" s="1"/>
  <c r="AZ271" i="8" s="1"/>
  <c r="AV226" i="8"/>
  <c r="AW226" i="8" s="1"/>
  <c r="AY226" i="8" s="1"/>
  <c r="AZ226" i="8" s="1"/>
  <c r="AV190" i="8"/>
  <c r="AW190" i="8" s="1"/>
  <c r="AY190" i="8" s="1"/>
  <c r="AZ190" i="8" s="1"/>
  <c r="AV152" i="8"/>
  <c r="AW152" i="8" s="1"/>
  <c r="AY152" i="8" s="1"/>
  <c r="AZ152" i="8" s="1"/>
  <c r="AV135" i="8"/>
  <c r="AW135" i="8" s="1"/>
  <c r="AY135" i="8" s="1"/>
  <c r="AZ135" i="8" s="1"/>
  <c r="AV133" i="8"/>
  <c r="AW133" i="8" s="1"/>
  <c r="AY133" i="8" s="1"/>
  <c r="AZ133" i="8" s="1"/>
  <c r="AV119" i="8"/>
  <c r="AW119" i="8" s="1"/>
  <c r="AY119" i="8" s="1"/>
  <c r="AZ119" i="8" s="1"/>
  <c r="AV105" i="8"/>
  <c r="AW105" i="8" s="1"/>
  <c r="AY105" i="8" s="1"/>
  <c r="AZ105" i="8" s="1"/>
  <c r="AV95" i="8"/>
  <c r="AW95" i="8" s="1"/>
  <c r="AY95" i="8" s="1"/>
  <c r="AZ95" i="8" s="1"/>
  <c r="AV75" i="8"/>
  <c r="AW75" i="8" s="1"/>
  <c r="AY75" i="8" s="1"/>
  <c r="AZ75" i="8" s="1"/>
  <c r="AV69" i="8"/>
  <c r="AW69" i="8" s="1"/>
  <c r="AY69" i="8" s="1"/>
  <c r="AZ69" i="8" s="1"/>
  <c r="AV49" i="8"/>
  <c r="AW49" i="8" s="1"/>
  <c r="AY49" i="8" s="1"/>
  <c r="AZ49" i="8" s="1"/>
  <c r="AV46" i="8"/>
  <c r="AW46" i="8" s="1"/>
  <c r="AY46" i="8" s="1"/>
  <c r="AZ46" i="8" s="1"/>
  <c r="AV38" i="8"/>
  <c r="AW38" i="8" s="1"/>
  <c r="AY38" i="8" s="1"/>
  <c r="AZ38" i="8" s="1"/>
  <c r="AV286" i="8"/>
  <c r="AW286" i="8" s="1"/>
  <c r="AY286" i="8" s="1"/>
  <c r="AZ286" i="8" s="1"/>
  <c r="AV266" i="8"/>
  <c r="AW266" i="8" s="1"/>
  <c r="AY266" i="8" s="1"/>
  <c r="AZ266" i="8" s="1"/>
  <c r="AV234" i="8"/>
  <c r="AW234" i="8" s="1"/>
  <c r="AY234" i="8" s="1"/>
  <c r="AZ234" i="8" s="1"/>
  <c r="AV205" i="8"/>
  <c r="AW205" i="8" s="1"/>
  <c r="AY205" i="8" s="1"/>
  <c r="AZ205" i="8" s="1"/>
  <c r="AV185" i="8"/>
  <c r="AW185" i="8" s="1"/>
  <c r="AY185" i="8" s="1"/>
  <c r="AZ185" i="8" s="1"/>
  <c r="AV145" i="8"/>
  <c r="AW145" i="8" s="1"/>
  <c r="AY145" i="8" s="1"/>
  <c r="AZ145" i="8" s="1"/>
  <c r="AV129" i="8"/>
  <c r="AW129" i="8" s="1"/>
  <c r="AY129" i="8" s="1"/>
  <c r="AZ129" i="8" s="1"/>
  <c r="AV54" i="8"/>
  <c r="AW54" i="8" s="1"/>
  <c r="AY54" i="8" s="1"/>
  <c r="AZ54" i="8" s="1"/>
  <c r="AV40" i="8"/>
  <c r="AW40" i="8" s="1"/>
  <c r="AY40" i="8" s="1"/>
  <c r="AZ40" i="8" s="1"/>
  <c r="AO57" i="8"/>
  <c r="AP57" i="8" s="1"/>
  <c r="C368" i="8"/>
  <c r="C345" i="8"/>
  <c r="F362" i="8"/>
  <c r="F359" i="8"/>
  <c r="F358" i="8"/>
  <c r="F357" i="8"/>
  <c r="F356" i="8"/>
  <c r="F350" i="8"/>
  <c r="AO326" i="8" l="1"/>
  <c r="AP326" i="8" s="1"/>
  <c r="AO325" i="8"/>
  <c r="AP325" i="8" s="1"/>
  <c r="AO324" i="8"/>
  <c r="AP324" i="8" s="1"/>
  <c r="AO323" i="8"/>
  <c r="AP323" i="8" s="1"/>
  <c r="AO322" i="8"/>
  <c r="AP322" i="8" s="1"/>
  <c r="AO321" i="8"/>
  <c r="AP321" i="8" s="1"/>
  <c r="AO320" i="8"/>
  <c r="AP320" i="8" s="1"/>
  <c r="AO319" i="8"/>
  <c r="AP319" i="8" s="1"/>
  <c r="AO318" i="8"/>
  <c r="AP318" i="8" s="1"/>
  <c r="AO317" i="8"/>
  <c r="AP317" i="8" s="1"/>
  <c r="AO316" i="8"/>
  <c r="AP316" i="8" s="1"/>
  <c r="AO315" i="8"/>
  <c r="AP315" i="8" s="1"/>
  <c r="AO314" i="8"/>
  <c r="AP314" i="8" s="1"/>
  <c r="AO313" i="8"/>
  <c r="AP313" i="8" s="1"/>
  <c r="AO312" i="8"/>
  <c r="AP312" i="8" s="1"/>
  <c r="AO311" i="8"/>
  <c r="AP311" i="8" s="1"/>
  <c r="AO310" i="8"/>
  <c r="AP310" i="8" s="1"/>
  <c r="AO309" i="8"/>
  <c r="AP309" i="8" s="1"/>
  <c r="AO308" i="8"/>
  <c r="AP308" i="8" s="1"/>
  <c r="AO307" i="8"/>
  <c r="AP307" i="8" s="1"/>
  <c r="AO299" i="8"/>
  <c r="AP299" i="8" s="1"/>
  <c r="AO298" i="8"/>
  <c r="AP298" i="8" s="1"/>
  <c r="AO297" i="8"/>
  <c r="AP297" i="8" s="1"/>
  <c r="AO296" i="8"/>
  <c r="AP296" i="8" s="1"/>
  <c r="AO295" i="8"/>
  <c r="AP295" i="8" s="1"/>
  <c r="AO294" i="8"/>
  <c r="AP294" i="8" s="1"/>
  <c r="AO293" i="8"/>
  <c r="AP293" i="8" s="1"/>
  <c r="AO292" i="8"/>
  <c r="AP292" i="8" s="1"/>
  <c r="AO291" i="8"/>
  <c r="AP291" i="8" s="1"/>
  <c r="AO290" i="8"/>
  <c r="AP290" i="8" s="1"/>
  <c r="AO289" i="8"/>
  <c r="AP289" i="8" s="1"/>
  <c r="AO288" i="8"/>
  <c r="AP288" i="8" s="1"/>
  <c r="AO287" i="8"/>
  <c r="AP287" i="8" s="1"/>
  <c r="AO286" i="8"/>
  <c r="AP286" i="8" s="1"/>
  <c r="AO285" i="8"/>
  <c r="AP285" i="8" s="1"/>
  <c r="AO284" i="8"/>
  <c r="AP284" i="8" s="1"/>
  <c r="AO283" i="8"/>
  <c r="AP283" i="8" s="1"/>
  <c r="AO282" i="8"/>
  <c r="AP282" i="8" s="1"/>
  <c r="AO281" i="8"/>
  <c r="AP281" i="8" s="1"/>
  <c r="AO280" i="8"/>
  <c r="AP280" i="8" s="1"/>
  <c r="AO272" i="8"/>
  <c r="AP272" i="8" s="1"/>
  <c r="AO271" i="8"/>
  <c r="AP271" i="8" s="1"/>
  <c r="AO270" i="8"/>
  <c r="AP270" i="8" s="1"/>
  <c r="AO269" i="8"/>
  <c r="AP269" i="8" s="1"/>
  <c r="AO268" i="8"/>
  <c r="AP268" i="8" s="1"/>
  <c r="AO267" i="8"/>
  <c r="AP267" i="8" s="1"/>
  <c r="AO266" i="8"/>
  <c r="AP266" i="8" s="1"/>
  <c r="AO265" i="8"/>
  <c r="AP265" i="8" s="1"/>
  <c r="AO264" i="8"/>
  <c r="AP264" i="8" s="1"/>
  <c r="AO263" i="8"/>
  <c r="AP263" i="8" s="1"/>
  <c r="AO262" i="8"/>
  <c r="AP262" i="8" s="1"/>
  <c r="AO261" i="8"/>
  <c r="AP261" i="8" s="1"/>
  <c r="AO260" i="8"/>
  <c r="AP260" i="8" s="1"/>
  <c r="AO259" i="8"/>
  <c r="AP259" i="8" s="1"/>
  <c r="AO258" i="8"/>
  <c r="AP258" i="8" s="1"/>
  <c r="AO257" i="8"/>
  <c r="AP257" i="8" s="1"/>
  <c r="AO256" i="8"/>
  <c r="AP256" i="8" s="1"/>
  <c r="AO255" i="8"/>
  <c r="AP255" i="8" s="1"/>
  <c r="AO254" i="8"/>
  <c r="AP254" i="8" s="1"/>
  <c r="AO253" i="8"/>
  <c r="AP253" i="8" s="1"/>
  <c r="AO245" i="8"/>
  <c r="AP245" i="8" s="1"/>
  <c r="AO244" i="8"/>
  <c r="AP244" i="8" s="1"/>
  <c r="AO243" i="8"/>
  <c r="AP243" i="8" s="1"/>
  <c r="AO242" i="8"/>
  <c r="AP242" i="8" s="1"/>
  <c r="AO241" i="8"/>
  <c r="AP241" i="8" s="1"/>
  <c r="AO240" i="8"/>
  <c r="AP240" i="8" s="1"/>
  <c r="AO239" i="8"/>
  <c r="AP239" i="8" s="1"/>
  <c r="AO238" i="8"/>
  <c r="AP238" i="8" s="1"/>
  <c r="AO237" i="8"/>
  <c r="AP237" i="8" s="1"/>
  <c r="AO236" i="8"/>
  <c r="AP236" i="8" s="1"/>
  <c r="AO235" i="8"/>
  <c r="AP235" i="8" s="1"/>
  <c r="AO234" i="8"/>
  <c r="AP234" i="8" s="1"/>
  <c r="AO233" i="8"/>
  <c r="AP233" i="8" s="1"/>
  <c r="AO232" i="8"/>
  <c r="AP232" i="8" s="1"/>
  <c r="AO231" i="8"/>
  <c r="AP231" i="8" s="1"/>
  <c r="AO230" i="8"/>
  <c r="AP230" i="8" s="1"/>
  <c r="AO229" i="8"/>
  <c r="AP229" i="8" s="1"/>
  <c r="AO228" i="8"/>
  <c r="AP228" i="8" s="1"/>
  <c r="AO227" i="8"/>
  <c r="AP227" i="8" s="1"/>
  <c r="AO226" i="8"/>
  <c r="AP226" i="8" s="1"/>
  <c r="AO218" i="8"/>
  <c r="AP218" i="8" s="1"/>
  <c r="AO217" i="8"/>
  <c r="AP217" i="8" s="1"/>
  <c r="AO216" i="8"/>
  <c r="AP216" i="8" s="1"/>
  <c r="AO215" i="8"/>
  <c r="AP215" i="8" s="1"/>
  <c r="AO214" i="8"/>
  <c r="AP214" i="8" s="1"/>
  <c r="AO213" i="8"/>
  <c r="AP213" i="8" s="1"/>
  <c r="AO212" i="8"/>
  <c r="AP212" i="8" s="1"/>
  <c r="AO211" i="8"/>
  <c r="AP211" i="8" s="1"/>
  <c r="AO210" i="8"/>
  <c r="AP210" i="8" s="1"/>
  <c r="AO209" i="8"/>
  <c r="AP209" i="8" s="1"/>
  <c r="AO208" i="8"/>
  <c r="AP208" i="8" s="1"/>
  <c r="AO207" i="8"/>
  <c r="AP207" i="8" s="1"/>
  <c r="AO206" i="8"/>
  <c r="AP206" i="8" s="1"/>
  <c r="AO205" i="8"/>
  <c r="AP205" i="8" s="1"/>
  <c r="AO204" i="8"/>
  <c r="AP204" i="8" s="1"/>
  <c r="AO203" i="8"/>
  <c r="AP203" i="8" s="1"/>
  <c r="AO202" i="8"/>
  <c r="AP202" i="8" s="1"/>
  <c r="AO201" i="8"/>
  <c r="AP201" i="8" s="1"/>
  <c r="AO200" i="8"/>
  <c r="AP200" i="8" s="1"/>
  <c r="AO199" i="8"/>
  <c r="AP199" i="8" s="1"/>
  <c r="AO172" i="8"/>
  <c r="AP172" i="8" s="1"/>
  <c r="AO164" i="8"/>
  <c r="AP164" i="8" s="1"/>
  <c r="AO163" i="8"/>
  <c r="AP163" i="8" s="1"/>
  <c r="AO162" i="8"/>
  <c r="AP162" i="8" s="1"/>
  <c r="AO161" i="8"/>
  <c r="AP161" i="8" s="1"/>
  <c r="AO160" i="8"/>
  <c r="AP160" i="8" s="1"/>
  <c r="AO159" i="8"/>
  <c r="AP159" i="8" s="1"/>
  <c r="AO158" i="8"/>
  <c r="AP158" i="8" s="1"/>
  <c r="AO157" i="8"/>
  <c r="AP157" i="8" s="1"/>
  <c r="AO156" i="8"/>
  <c r="AP156" i="8" s="1"/>
  <c r="AO155" i="8"/>
  <c r="AP155" i="8" s="1"/>
  <c r="AO154" i="8"/>
  <c r="AP154" i="8" s="1"/>
  <c r="AO153" i="8"/>
  <c r="AP153" i="8" s="1"/>
  <c r="AO152" i="8"/>
  <c r="AP152" i="8" s="1"/>
  <c r="AO151" i="8"/>
  <c r="AP151" i="8" s="1"/>
  <c r="AO150" i="8"/>
  <c r="AP150" i="8" s="1"/>
  <c r="AO149" i="8"/>
  <c r="AP149" i="8" s="1"/>
  <c r="AO148" i="8"/>
  <c r="AP148" i="8" s="1"/>
  <c r="AO147" i="8"/>
  <c r="AP147" i="8" s="1"/>
  <c r="AO146" i="8"/>
  <c r="AP146" i="8" s="1"/>
  <c r="AO145" i="8"/>
  <c r="AP145" i="8" s="1"/>
  <c r="AO92" i="8"/>
  <c r="AP92" i="8" s="1"/>
  <c r="AO93" i="8"/>
  <c r="AP93" i="8" s="1"/>
  <c r="AO94" i="8"/>
  <c r="AP94" i="8" s="1"/>
  <c r="AO95" i="8"/>
  <c r="AP95" i="8" s="1"/>
  <c r="AO96" i="8"/>
  <c r="AP96" i="8" s="1"/>
  <c r="AO97" i="8"/>
  <c r="AP97" i="8" s="1"/>
  <c r="AO98" i="8"/>
  <c r="AP98" i="8" s="1"/>
  <c r="AO99" i="8"/>
  <c r="AP99" i="8" s="1"/>
  <c r="AO100" i="8"/>
  <c r="AP100" i="8" s="1"/>
  <c r="AO101" i="8"/>
  <c r="AP101" i="8" s="1"/>
  <c r="AO102" i="8"/>
  <c r="AP102" i="8" s="1"/>
  <c r="AO103" i="8"/>
  <c r="AP103" i="8" s="1"/>
  <c r="AO104" i="8"/>
  <c r="AP104" i="8" s="1"/>
  <c r="AO105" i="8"/>
  <c r="AP105" i="8" s="1"/>
  <c r="AO106" i="8"/>
  <c r="AP106" i="8" s="1"/>
  <c r="AO107" i="8"/>
  <c r="AP107" i="8" s="1"/>
  <c r="AO108" i="8"/>
  <c r="AP108" i="8" s="1"/>
  <c r="AO109" i="8"/>
  <c r="AP109" i="8" s="1"/>
  <c r="AO110" i="8"/>
  <c r="AP110" i="8" s="1"/>
  <c r="AN31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N14" i="8"/>
  <c r="AN13" i="8"/>
  <c r="AN12" i="8"/>
  <c r="K361" i="8"/>
  <c r="K363" i="8" s="1"/>
  <c r="K364" i="8" s="1"/>
  <c r="F368" i="8"/>
  <c r="G359" i="8"/>
  <c r="G358" i="8"/>
  <c r="G357" i="8"/>
  <c r="L333" i="8"/>
  <c r="C365" i="8"/>
  <c r="C364" i="8"/>
  <c r="C363" i="8"/>
  <c r="F363" i="8" s="1"/>
  <c r="C353" i="8"/>
  <c r="C352" i="8"/>
  <c r="F352" i="8" s="1"/>
  <c r="C351" i="8"/>
  <c r="F351" i="8" s="1"/>
  <c r="E349" i="8"/>
  <c r="F344" i="8"/>
  <c r="C347" i="8"/>
  <c r="F347" i="8" s="1"/>
  <c r="C346" i="8"/>
  <c r="F346" i="8" s="1"/>
  <c r="G346" i="8" s="1"/>
  <c r="F338" i="8"/>
  <c r="F339" i="8" s="1"/>
  <c r="J332" i="8"/>
  <c r="L326" i="8"/>
  <c r="M326" i="8" s="1"/>
  <c r="L325" i="8"/>
  <c r="M325" i="8" s="1"/>
  <c r="L324" i="8"/>
  <c r="M324" i="8" s="1"/>
  <c r="L323" i="8"/>
  <c r="M323" i="8" s="1"/>
  <c r="L322" i="8"/>
  <c r="M322" i="8" s="1"/>
  <c r="L321" i="8"/>
  <c r="M321" i="8" s="1"/>
  <c r="L320" i="8"/>
  <c r="M320" i="8" s="1"/>
  <c r="L319" i="8"/>
  <c r="M319" i="8" s="1"/>
  <c r="L318" i="8"/>
  <c r="M318" i="8" s="1"/>
  <c r="L317" i="8"/>
  <c r="M317" i="8" s="1"/>
  <c r="L316" i="8"/>
  <c r="M316" i="8" s="1"/>
  <c r="L315" i="8"/>
  <c r="M315" i="8" s="1"/>
  <c r="L314" i="8"/>
  <c r="M314" i="8" s="1"/>
  <c r="L313" i="8"/>
  <c r="M313" i="8" s="1"/>
  <c r="L312" i="8"/>
  <c r="M312" i="8" s="1"/>
  <c r="L311" i="8"/>
  <c r="M311" i="8" s="1"/>
  <c r="L310" i="8"/>
  <c r="M310" i="8" s="1"/>
  <c r="L309" i="8"/>
  <c r="M309" i="8" s="1"/>
  <c r="L308" i="8"/>
  <c r="M308" i="8" s="1"/>
  <c r="L307" i="8"/>
  <c r="M307" i="8" s="1"/>
  <c r="L299" i="8"/>
  <c r="L298" i="8"/>
  <c r="L297" i="8"/>
  <c r="M297" i="8" s="1"/>
  <c r="L296" i="8"/>
  <c r="L295" i="8"/>
  <c r="M295" i="8" s="1"/>
  <c r="L294" i="8"/>
  <c r="M294" i="8" s="1"/>
  <c r="L293" i="8"/>
  <c r="L292" i="8"/>
  <c r="M292" i="8" s="1"/>
  <c r="L291" i="8"/>
  <c r="M291" i="8" s="1"/>
  <c r="L290" i="8"/>
  <c r="L289" i="8"/>
  <c r="M289" i="8" s="1"/>
  <c r="L288" i="8"/>
  <c r="M288" i="8" s="1"/>
  <c r="L287" i="8"/>
  <c r="L286" i="8"/>
  <c r="M286" i="8" s="1"/>
  <c r="L285" i="8"/>
  <c r="M285" i="8" s="1"/>
  <c r="L284" i="8"/>
  <c r="L283" i="8"/>
  <c r="M283" i="8" s="1"/>
  <c r="L282" i="8"/>
  <c r="M282" i="8" s="1"/>
  <c r="L281" i="8"/>
  <c r="L280" i="8"/>
  <c r="M280" i="8" s="1"/>
  <c r="L272" i="8"/>
  <c r="L271" i="8"/>
  <c r="L270" i="8"/>
  <c r="M270" i="8" s="1"/>
  <c r="L269" i="8"/>
  <c r="L268" i="8"/>
  <c r="L267" i="8"/>
  <c r="L266" i="8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45" i="8"/>
  <c r="L244" i="8"/>
  <c r="M244" i="8" s="1"/>
  <c r="L243" i="8"/>
  <c r="M243" i="8" s="1"/>
  <c r="L242" i="8"/>
  <c r="L241" i="8"/>
  <c r="M241" i="8" s="1"/>
  <c r="L240" i="8"/>
  <c r="M240" i="8" s="1"/>
  <c r="L239" i="8"/>
  <c r="L238" i="8"/>
  <c r="M238" i="8" s="1"/>
  <c r="L237" i="8"/>
  <c r="M237" i="8" s="1"/>
  <c r="L236" i="8"/>
  <c r="L235" i="8"/>
  <c r="M235" i="8" s="1"/>
  <c r="L234" i="8"/>
  <c r="M234" i="8" s="1"/>
  <c r="L233" i="8"/>
  <c r="L232" i="8"/>
  <c r="M232" i="8" s="1"/>
  <c r="L231" i="8"/>
  <c r="M231" i="8" s="1"/>
  <c r="L230" i="8"/>
  <c r="L229" i="8"/>
  <c r="M229" i="8" s="1"/>
  <c r="L228" i="8"/>
  <c r="M228" i="8" s="1"/>
  <c r="L227" i="8"/>
  <c r="L226" i="8"/>
  <c r="M226" i="8" s="1"/>
  <c r="L218" i="8"/>
  <c r="L217" i="8"/>
  <c r="M217" i="8" s="1"/>
  <c r="L216" i="8"/>
  <c r="M216" i="8" s="1"/>
  <c r="L215" i="8"/>
  <c r="L214" i="8"/>
  <c r="L213" i="8"/>
  <c r="L212" i="8"/>
  <c r="L211" i="8"/>
  <c r="L210" i="8"/>
  <c r="M210" i="8" s="1"/>
  <c r="L209" i="8"/>
  <c r="L208" i="8"/>
  <c r="L207" i="8"/>
  <c r="M207" i="8" s="1"/>
  <c r="L206" i="8"/>
  <c r="L205" i="8"/>
  <c r="L204" i="8"/>
  <c r="M204" i="8" s="1"/>
  <c r="L203" i="8"/>
  <c r="L202" i="8"/>
  <c r="L201" i="8"/>
  <c r="M201" i="8" s="1"/>
  <c r="L200" i="8"/>
  <c r="L199" i="8"/>
  <c r="L191" i="8"/>
  <c r="L190" i="8"/>
  <c r="M190" i="8" s="1"/>
  <c r="L189" i="8"/>
  <c r="L188" i="8"/>
  <c r="L187" i="8"/>
  <c r="M187" i="8" s="1"/>
  <c r="L186" i="8"/>
  <c r="L185" i="8"/>
  <c r="L184" i="8"/>
  <c r="M184" i="8" s="1"/>
  <c r="L183" i="8"/>
  <c r="L182" i="8"/>
  <c r="L181" i="8"/>
  <c r="M181" i="8" s="1"/>
  <c r="L180" i="8"/>
  <c r="L179" i="8"/>
  <c r="L178" i="8"/>
  <c r="M178" i="8" s="1"/>
  <c r="L177" i="8"/>
  <c r="L176" i="8"/>
  <c r="L175" i="8"/>
  <c r="M175" i="8" s="1"/>
  <c r="L174" i="8"/>
  <c r="L173" i="8"/>
  <c r="L172" i="8"/>
  <c r="M172" i="8" s="1"/>
  <c r="L164" i="8"/>
  <c r="L163" i="8"/>
  <c r="M163" i="8" s="1"/>
  <c r="L162" i="8"/>
  <c r="M162" i="8" s="1"/>
  <c r="L161" i="8"/>
  <c r="L160" i="8"/>
  <c r="L159" i="8"/>
  <c r="M159" i="8" s="1"/>
  <c r="L158" i="8"/>
  <c r="L157" i="8"/>
  <c r="L156" i="8"/>
  <c r="M156" i="8" s="1"/>
  <c r="L155" i="8"/>
  <c r="L154" i="8"/>
  <c r="L153" i="8"/>
  <c r="M153" i="8" s="1"/>
  <c r="L152" i="8"/>
  <c r="L151" i="8"/>
  <c r="L150" i="8"/>
  <c r="M150" i="8" s="1"/>
  <c r="L149" i="8"/>
  <c r="L148" i="8"/>
  <c r="L147" i="8"/>
  <c r="M147" i="8" s="1"/>
  <c r="L146" i="8"/>
  <c r="L145" i="8"/>
  <c r="L137" i="8"/>
  <c r="L136" i="8"/>
  <c r="L135" i="8"/>
  <c r="M135" i="8" s="1"/>
  <c r="L134" i="8"/>
  <c r="M134" i="8" s="1"/>
  <c r="L133" i="8"/>
  <c r="M133" i="8" s="1"/>
  <c r="L132" i="8"/>
  <c r="M132" i="8" s="1"/>
  <c r="L131" i="8"/>
  <c r="M131" i="8" s="1"/>
  <c r="L130" i="8"/>
  <c r="M130" i="8" s="1"/>
  <c r="L129" i="8"/>
  <c r="M129" i="8" s="1"/>
  <c r="L128" i="8"/>
  <c r="M128" i="8" s="1"/>
  <c r="L127" i="8"/>
  <c r="M127" i="8" s="1"/>
  <c r="L126" i="8"/>
  <c r="L125" i="8"/>
  <c r="M125" i="8" s="1"/>
  <c r="L124" i="8"/>
  <c r="M124" i="8" s="1"/>
  <c r="L123" i="8"/>
  <c r="L122" i="8"/>
  <c r="M122" i="8" s="1"/>
  <c r="L121" i="8"/>
  <c r="M121" i="8" s="1"/>
  <c r="L120" i="8"/>
  <c r="M120" i="8" s="1"/>
  <c r="L119" i="8"/>
  <c r="M119" i="8" s="1"/>
  <c r="L118" i="8"/>
  <c r="M118" i="8" s="1"/>
  <c r="L110" i="8"/>
  <c r="L109" i="8"/>
  <c r="M109" i="8" s="1"/>
  <c r="L108" i="8"/>
  <c r="L107" i="8"/>
  <c r="M107" i="8" s="1"/>
  <c r="L106" i="8"/>
  <c r="M106" i="8" s="1"/>
  <c r="L105" i="8"/>
  <c r="L104" i="8"/>
  <c r="M104" i="8" s="1"/>
  <c r="L103" i="8"/>
  <c r="M103" i="8" s="1"/>
  <c r="L102" i="8"/>
  <c r="M102" i="8" s="1"/>
  <c r="L101" i="8"/>
  <c r="M101" i="8" s="1"/>
  <c r="L100" i="8"/>
  <c r="M100" i="8" s="1"/>
  <c r="L99" i="8"/>
  <c r="M99" i="8" s="1"/>
  <c r="L98" i="8"/>
  <c r="M98" i="8" s="1"/>
  <c r="L97" i="8"/>
  <c r="M97" i="8" s="1"/>
  <c r="L96" i="8"/>
  <c r="M96" i="8" s="1"/>
  <c r="L95" i="8"/>
  <c r="M95" i="8" s="1"/>
  <c r="L94" i="8"/>
  <c r="M94" i="8" s="1"/>
  <c r="L93" i="8"/>
  <c r="L92" i="8"/>
  <c r="M92" i="8" s="1"/>
  <c r="L91" i="8"/>
  <c r="M91" i="8" s="1"/>
  <c r="L83" i="8"/>
  <c r="M83" i="8" s="1"/>
  <c r="L82" i="8"/>
  <c r="M82" i="8" s="1"/>
  <c r="L81" i="8"/>
  <c r="M81" i="8" s="1"/>
  <c r="L80" i="8"/>
  <c r="M80" i="8" s="1"/>
  <c r="L79" i="8"/>
  <c r="M79" i="8" s="1"/>
  <c r="L78" i="8"/>
  <c r="M78" i="8" s="1"/>
  <c r="L77" i="8"/>
  <c r="M77" i="8" s="1"/>
  <c r="L76" i="8"/>
  <c r="M76" i="8" s="1"/>
  <c r="L75" i="8"/>
  <c r="M75" i="8" s="1"/>
  <c r="L74" i="8"/>
  <c r="M74" i="8" s="1"/>
  <c r="L73" i="8"/>
  <c r="M73" i="8" s="1"/>
  <c r="L72" i="8"/>
  <c r="M72" i="8" s="1"/>
  <c r="L71" i="8"/>
  <c r="M71" i="8" s="1"/>
  <c r="L70" i="8"/>
  <c r="M70" i="8" s="1"/>
  <c r="L69" i="8"/>
  <c r="M69" i="8" s="1"/>
  <c r="L68" i="8"/>
  <c r="M68" i="8" s="1"/>
  <c r="L67" i="8"/>
  <c r="M67" i="8" s="1"/>
  <c r="L66" i="8"/>
  <c r="L65" i="8"/>
  <c r="M65" i="8" s="1"/>
  <c r="L64" i="8"/>
  <c r="M64" i="8" s="1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AO22" i="8" l="1"/>
  <c r="AV22" i="8"/>
  <c r="AW22" i="8" s="1"/>
  <c r="AY22" i="8" s="1"/>
  <c r="AZ22" i="8" s="1"/>
  <c r="AO17" i="8"/>
  <c r="AV17" i="8"/>
  <c r="AW17" i="8" s="1"/>
  <c r="AY17" i="8" s="1"/>
  <c r="AZ17" i="8" s="1"/>
  <c r="AO23" i="8"/>
  <c r="AV23" i="8"/>
  <c r="AW23" i="8" s="1"/>
  <c r="AY23" i="8" s="1"/>
  <c r="AZ23" i="8" s="1"/>
  <c r="AO29" i="8"/>
  <c r="AV29" i="8"/>
  <c r="AW29" i="8" s="1"/>
  <c r="AY29" i="8" s="1"/>
  <c r="AZ29" i="8" s="1"/>
  <c r="AO12" i="8"/>
  <c r="AV12" i="8"/>
  <c r="AO18" i="8"/>
  <c r="AV18" i="8"/>
  <c r="AW18" i="8" s="1"/>
  <c r="AY18" i="8" s="1"/>
  <c r="AZ18" i="8" s="1"/>
  <c r="AO24" i="8"/>
  <c r="AV24" i="8"/>
  <c r="AW24" i="8" s="1"/>
  <c r="AY24" i="8" s="1"/>
  <c r="AZ24" i="8" s="1"/>
  <c r="AO30" i="8"/>
  <c r="AV30" i="8"/>
  <c r="AW30" i="8" s="1"/>
  <c r="AY30" i="8" s="1"/>
  <c r="AZ30" i="8" s="1"/>
  <c r="AO28" i="8"/>
  <c r="AV28" i="8"/>
  <c r="AW28" i="8" s="1"/>
  <c r="AY28" i="8" s="1"/>
  <c r="AZ28" i="8" s="1"/>
  <c r="AO13" i="8"/>
  <c r="AV13" i="8"/>
  <c r="AW13" i="8" s="1"/>
  <c r="AY13" i="8" s="1"/>
  <c r="AZ13" i="8" s="1"/>
  <c r="AO19" i="8"/>
  <c r="AV19" i="8"/>
  <c r="AW19" i="8" s="1"/>
  <c r="AY19" i="8" s="1"/>
  <c r="AZ19" i="8" s="1"/>
  <c r="AO25" i="8"/>
  <c r="AV25" i="8"/>
  <c r="AW25" i="8" s="1"/>
  <c r="AY25" i="8" s="1"/>
  <c r="AZ25" i="8" s="1"/>
  <c r="AO31" i="8"/>
  <c r="AV31" i="8"/>
  <c r="AW31" i="8" s="1"/>
  <c r="AY31" i="8" s="1"/>
  <c r="AZ31" i="8" s="1"/>
  <c r="AO16" i="8"/>
  <c r="AV16" i="8"/>
  <c r="AW16" i="8" s="1"/>
  <c r="AY16" i="8" s="1"/>
  <c r="AZ16" i="8" s="1"/>
  <c r="AO14" i="8"/>
  <c r="AV14" i="8"/>
  <c r="AW14" i="8" s="1"/>
  <c r="AY14" i="8" s="1"/>
  <c r="AZ14" i="8" s="1"/>
  <c r="AO20" i="8"/>
  <c r="AV20" i="8"/>
  <c r="AW20" i="8" s="1"/>
  <c r="AY20" i="8" s="1"/>
  <c r="AZ20" i="8" s="1"/>
  <c r="AO26" i="8"/>
  <c r="AV26" i="8"/>
  <c r="AW26" i="8" s="1"/>
  <c r="AY26" i="8" s="1"/>
  <c r="AZ26" i="8" s="1"/>
  <c r="AO15" i="8"/>
  <c r="AV15" i="8"/>
  <c r="AW15" i="8" s="1"/>
  <c r="AY15" i="8" s="1"/>
  <c r="AZ15" i="8" s="1"/>
  <c r="AO21" i="8"/>
  <c r="AV21" i="8"/>
  <c r="AW21" i="8" s="1"/>
  <c r="AY21" i="8" s="1"/>
  <c r="AZ21" i="8" s="1"/>
  <c r="AO27" i="8"/>
  <c r="AV27" i="8"/>
  <c r="AW27" i="8" s="1"/>
  <c r="AY27" i="8" s="1"/>
  <c r="AZ27" i="8" s="1"/>
  <c r="F353" i="8"/>
  <c r="G353" i="8" s="1"/>
  <c r="C371" i="8"/>
  <c r="F365" i="8"/>
  <c r="G365" i="8" s="1"/>
  <c r="C370" i="8"/>
  <c r="F364" i="8"/>
  <c r="G364" i="8" s="1"/>
  <c r="F345" i="8"/>
  <c r="G345" i="8" s="1"/>
  <c r="C369" i="8"/>
  <c r="G352" i="8"/>
  <c r="G363" i="8"/>
  <c r="G351" i="8"/>
  <c r="G347" i="8"/>
  <c r="F337" i="8"/>
  <c r="M145" i="8"/>
  <c r="M105" i="8"/>
  <c r="M123" i="8"/>
  <c r="M199" i="8"/>
  <c r="M227" i="8"/>
  <c r="M236" i="8"/>
  <c r="M245" i="8"/>
  <c r="M258" i="8"/>
  <c r="M183" i="8"/>
  <c r="M211" i="8"/>
  <c r="M233" i="8"/>
  <c r="M242" i="8"/>
  <c r="M293" i="8"/>
  <c r="M259" i="8"/>
  <c r="M174" i="8"/>
  <c r="M208" i="8"/>
  <c r="M230" i="8"/>
  <c r="M239" i="8"/>
  <c r="M290" i="8"/>
  <c r="M213" i="8"/>
  <c r="M256" i="8"/>
  <c r="M148" i="8"/>
  <c r="M214" i="8"/>
  <c r="M261" i="8"/>
  <c r="M268" i="8"/>
  <c r="M284" i="8"/>
  <c r="M157" i="8"/>
  <c r="M271" i="8"/>
  <c r="M287" i="8"/>
  <c r="M296" i="8"/>
  <c r="M177" i="8"/>
  <c r="M186" i="8"/>
  <c r="M202" i="8"/>
  <c r="M265" i="8"/>
  <c r="M298" i="8"/>
  <c r="M108" i="8"/>
  <c r="M255" i="8"/>
  <c r="M262" i="8"/>
  <c r="M281" i="8"/>
  <c r="M267" i="8"/>
  <c r="M180" i="8"/>
  <c r="M189" i="8"/>
  <c r="M205" i="8"/>
  <c r="M253" i="8"/>
  <c r="M264" i="8"/>
  <c r="M299" i="8"/>
  <c r="M272" i="8"/>
  <c r="M254" i="8"/>
  <c r="M257" i="8"/>
  <c r="M260" i="8"/>
  <c r="M263" i="8"/>
  <c r="M266" i="8"/>
  <c r="M269" i="8"/>
  <c r="M203" i="8"/>
  <c r="M209" i="8"/>
  <c r="M218" i="8"/>
  <c r="M200" i="8"/>
  <c r="M206" i="8"/>
  <c r="M212" i="8"/>
  <c r="M215" i="8"/>
  <c r="M93" i="8"/>
  <c r="M126" i="8"/>
  <c r="M151" i="8"/>
  <c r="M136" i="8"/>
  <c r="M154" i="8"/>
  <c r="M173" i="8"/>
  <c r="M176" i="8"/>
  <c r="M179" i="8"/>
  <c r="M182" i="8"/>
  <c r="M185" i="8"/>
  <c r="M188" i="8"/>
  <c r="M191" i="8"/>
  <c r="M164" i="8"/>
  <c r="M161" i="8"/>
  <c r="M160" i="8"/>
  <c r="M146" i="8"/>
  <c r="M149" i="8"/>
  <c r="M152" i="8"/>
  <c r="M155" i="8"/>
  <c r="M158" i="8"/>
  <c r="M137" i="8"/>
  <c r="M110" i="8"/>
  <c r="M17" i="8"/>
  <c r="M18" i="8"/>
  <c r="M23" i="8"/>
  <c r="M24" i="8"/>
  <c r="M29" i="8"/>
  <c r="M12" i="8"/>
  <c r="M30" i="8"/>
  <c r="M19" i="8"/>
  <c r="M25" i="8"/>
  <c r="M66" i="8"/>
  <c r="M27" i="8"/>
  <c r="M13" i="8"/>
  <c r="M31" i="8"/>
  <c r="M14" i="8"/>
  <c r="M20" i="8"/>
  <c r="M26" i="8"/>
  <c r="M15" i="8"/>
  <c r="M21" i="8"/>
  <c r="M16" i="8"/>
  <c r="M22" i="8"/>
  <c r="M28" i="8"/>
  <c r="AW12" i="8" l="1"/>
  <c r="AY12" i="8" s="1"/>
  <c r="AZ12" i="8" s="1"/>
  <c r="F370" i="8"/>
  <c r="G370" i="8" s="1"/>
  <c r="F371" i="8"/>
  <c r="G371" i="8" s="1"/>
  <c r="F369" i="8"/>
  <c r="G369" i="8" s="1"/>
  <c r="L51" i="8"/>
  <c r="M51" i="8" s="1"/>
  <c r="L57" i="8" l="1"/>
  <c r="L56" i="8"/>
  <c r="L55" i="8"/>
  <c r="L54" i="8"/>
  <c r="L53" i="8"/>
  <c r="L52" i="8"/>
  <c r="L48" i="8"/>
  <c r="L50" i="8"/>
  <c r="L49" i="8"/>
  <c r="L47" i="8"/>
  <c r="L46" i="8"/>
  <c r="L45" i="8"/>
  <c r="L44" i="8"/>
  <c r="L43" i="8"/>
  <c r="L42" i="8"/>
  <c r="L41" i="8"/>
  <c r="L40" i="8"/>
  <c r="L39" i="8"/>
  <c r="L38" i="8"/>
  <c r="M41" i="8" l="1"/>
  <c r="M54" i="8"/>
  <c r="M42" i="8"/>
  <c r="M49" i="8"/>
  <c r="M55" i="8"/>
  <c r="M43" i="8"/>
  <c r="M50" i="8"/>
  <c r="M56" i="8"/>
  <c r="M38" i="8"/>
  <c r="M44" i="8"/>
  <c r="M48" i="8"/>
  <c r="M57" i="8"/>
  <c r="M39" i="8"/>
  <c r="M45" i="8"/>
  <c r="M40" i="8"/>
  <c r="M46" i="8"/>
  <c r="M53" i="8"/>
  <c r="M47" i="8"/>
  <c r="M52" i="8"/>
  <c r="AO91" i="8" l="1"/>
  <c r="AP91" i="8" s="1"/>
  <c r="AP13" i="8" l="1"/>
  <c r="AP27" i="8"/>
  <c r="AP24" i="8"/>
  <c r="AP30" i="8"/>
  <c r="AP14" i="8"/>
  <c r="AP20" i="8"/>
  <c r="AP18" i="8"/>
  <c r="AP29" i="8"/>
  <c r="AP25" i="8"/>
  <c r="AP31" i="8"/>
  <c r="AP19" i="8"/>
  <c r="AP21" i="8"/>
  <c r="AP26" i="8"/>
  <c r="AP15" i="8"/>
  <c r="AP17" i="8"/>
  <c r="AP23" i="8"/>
  <c r="AP12" i="8"/>
  <c r="AP22" i="8"/>
  <c r="AP28" i="8"/>
  <c r="AP16" i="8"/>
  <c r="O26" i="8"/>
  <c r="AA135" i="8"/>
  <c r="O319" i="8"/>
  <c r="O243" i="8"/>
  <c r="O285" i="8"/>
  <c r="AA38" i="8"/>
  <c r="AK271" i="8"/>
  <c r="AF323" i="8"/>
  <c r="V175" i="8"/>
  <c r="AF110" i="8"/>
  <c r="AK100" i="8"/>
  <c r="V184" i="8"/>
  <c r="AA216" i="8"/>
  <c r="AK106" i="8"/>
  <c r="AA48" i="8"/>
  <c r="O14" i="8"/>
  <c r="V314" i="8"/>
  <c r="O55" i="8"/>
  <c r="AA152" i="8"/>
  <c r="AF237" i="8"/>
  <c r="AA235" i="8"/>
  <c r="AK320" i="8"/>
  <c r="AA214" i="8"/>
  <c r="AF79" i="8"/>
  <c r="V80" i="8"/>
  <c r="AK238" i="8"/>
  <c r="AF264" i="8"/>
  <c r="O298" i="8"/>
  <c r="AK294" i="8"/>
  <c r="AK145" i="8"/>
  <c r="O262" i="8"/>
  <c r="AA309" i="8"/>
  <c r="O326" i="8"/>
  <c r="AK191" i="8"/>
  <c r="AF254" i="8"/>
  <c r="V98" i="8"/>
  <c r="AA72" i="8"/>
  <c r="V125" i="8"/>
  <c r="AF177" i="8"/>
  <c r="O40" i="8"/>
  <c r="O64" i="8"/>
  <c r="AK183" i="8"/>
  <c r="V65" i="8"/>
  <c r="O164" i="8"/>
  <c r="AA280" i="8"/>
  <c r="V12" i="8"/>
  <c r="O41" i="8"/>
  <c r="AK317" i="8"/>
  <c r="O106" i="8"/>
  <c r="AF151" i="8"/>
  <c r="AA189" i="8"/>
  <c r="AF23" i="8"/>
  <c r="AA270" i="8"/>
  <c r="AF131" i="8"/>
  <c r="O190" i="8"/>
  <c r="AA310" i="8"/>
  <c r="AK56" i="8"/>
  <c r="O148" i="8"/>
  <c r="V18" i="8"/>
  <c r="V52" i="8"/>
  <c r="AF236" i="8"/>
  <c r="O149" i="8"/>
  <c r="AF184" i="8"/>
  <c r="V199" i="8"/>
  <c r="O255" i="8"/>
  <c r="AK268" i="8"/>
  <c r="AK83" i="8"/>
  <c r="AF72" i="8"/>
  <c r="O100" i="8"/>
  <c r="AF55" i="8"/>
  <c r="AF318" i="8"/>
  <c r="O102" i="8"/>
  <c r="O294" i="8"/>
  <c r="O216" i="8"/>
  <c r="AK158" i="8"/>
  <c r="V257" i="8"/>
  <c r="AK66" i="8"/>
  <c r="O226" i="8"/>
  <c r="O57" i="8"/>
  <c r="AA174" i="8"/>
  <c r="AF267" i="8"/>
  <c r="AF164" i="8"/>
  <c r="AA131" i="8"/>
  <c r="AA191" i="8"/>
  <c r="AA209" i="8"/>
  <c r="AF49" i="8"/>
  <c r="V208" i="8"/>
  <c r="AA238" i="8"/>
  <c r="V130" i="8"/>
  <c r="AK308" i="8"/>
  <c r="V295" i="8"/>
  <c r="V55" i="8"/>
  <c r="AA133" i="8"/>
  <c r="V20" i="8"/>
  <c r="AF240" i="8"/>
  <c r="AK180" i="8"/>
  <c r="AK234" i="8"/>
  <c r="V137" i="8"/>
  <c r="AF245" i="8"/>
  <c r="AK152" i="8"/>
  <c r="AK299" i="8"/>
  <c r="V127" i="8"/>
  <c r="O199" i="8"/>
  <c r="V266" i="8"/>
  <c r="O99" i="8"/>
  <c r="O191" i="8"/>
  <c r="AK215" i="8"/>
  <c r="AK296" i="8"/>
  <c r="AK102" i="8"/>
  <c r="O202" i="8"/>
  <c r="O23" i="8"/>
  <c r="AF99" i="8"/>
  <c r="AK96" i="8"/>
  <c r="V42" i="8"/>
  <c r="AK47" i="8"/>
  <c r="AA104" i="8"/>
  <c r="V238" i="8"/>
  <c r="AA307" i="8"/>
  <c r="O231" i="8"/>
  <c r="AA22" i="8"/>
  <c r="V309" i="8"/>
  <c r="AK291" i="8"/>
  <c r="AF263" i="8"/>
  <c r="O227" i="8"/>
  <c r="O253" i="8"/>
  <c r="O94" i="8"/>
  <c r="AK208" i="8"/>
  <c r="AF280" i="8"/>
  <c r="AF64" i="8"/>
  <c r="AA24" i="8"/>
  <c r="AF309" i="8"/>
  <c r="O203" i="8"/>
  <c r="AA326" i="8"/>
  <c r="AK127" i="8"/>
  <c r="O38" i="8"/>
  <c r="AA202" i="8"/>
  <c r="AF13" i="8"/>
  <c r="O95" i="8"/>
  <c r="O316" i="8"/>
  <c r="AF77" i="8"/>
  <c r="AF258" i="8"/>
  <c r="V99" i="8"/>
  <c r="AK210" i="8"/>
  <c r="V307" i="8"/>
  <c r="AK323" i="8"/>
  <c r="V183" i="8"/>
  <c r="V109" i="8"/>
  <c r="AF146" i="8"/>
  <c r="AF271" i="8"/>
  <c r="AF207" i="8"/>
  <c r="AK237" i="8"/>
  <c r="AK236" i="8"/>
  <c r="AF94" i="8"/>
  <c r="AK325" i="8"/>
  <c r="O244" i="8"/>
  <c r="V268" i="8"/>
  <c r="V40" i="8"/>
  <c r="AA261" i="8"/>
  <c r="O212" i="8"/>
  <c r="O71" i="8"/>
  <c r="AA45" i="8"/>
  <c r="AK318" i="8"/>
  <c r="O257" i="8"/>
  <c r="AF298" i="8"/>
  <c r="AA122" i="8"/>
  <c r="O270" i="8"/>
  <c r="O323" i="8"/>
  <c r="O233" i="8"/>
  <c r="AF234" i="8"/>
  <c r="O12" i="8"/>
  <c r="AA285" i="8"/>
  <c r="AK218" i="8"/>
  <c r="AK150" i="8"/>
  <c r="V124" i="8"/>
  <c r="O97" i="8"/>
  <c r="AA243" i="8"/>
  <c r="AK314" i="8"/>
  <c r="AA325" i="8"/>
  <c r="V256" i="8"/>
  <c r="AA69" i="8"/>
  <c r="AF203" i="8"/>
  <c r="AF98" i="8"/>
  <c r="AA110" i="8"/>
  <c r="AA240" i="8"/>
  <c r="AA313" i="8"/>
  <c r="O29" i="8"/>
  <c r="AF128" i="8"/>
  <c r="O266" i="8"/>
  <c r="AK132" i="8"/>
  <c r="AK255" i="8"/>
  <c r="AK16" i="8"/>
  <c r="AF21" i="8"/>
  <c r="AA239" i="8"/>
  <c r="AA253" i="8"/>
  <c r="AF324" i="8"/>
  <c r="AK22" i="8"/>
  <c r="AA176" i="8"/>
  <c r="AK92" i="8"/>
  <c r="V292" i="8"/>
  <c r="O78" i="8"/>
  <c r="AF57" i="8"/>
  <c r="V319" i="8"/>
  <c r="V254" i="8"/>
  <c r="AF152" i="8"/>
  <c r="AF185" i="8"/>
  <c r="V191" i="8"/>
  <c r="AF319" i="8"/>
  <c r="AA227" i="8"/>
  <c r="AA147" i="8"/>
  <c r="O307" i="8"/>
  <c r="AF180" i="8"/>
  <c r="AF217" i="8"/>
  <c r="AF30" i="8"/>
  <c r="AF149" i="8"/>
  <c r="O53" i="8"/>
  <c r="V158" i="8"/>
  <c r="AK177" i="8"/>
  <c r="O76" i="8"/>
  <c r="AK122" i="8"/>
  <c r="AA268" i="8"/>
  <c r="AF119" i="8"/>
  <c r="AA298" i="8"/>
  <c r="O49" i="8"/>
  <c r="AK43" i="8"/>
  <c r="V22" i="8"/>
  <c r="AA65" i="8"/>
  <c r="AF299" i="8"/>
  <c r="AA163" i="8"/>
  <c r="AK118" i="8"/>
  <c r="V253" i="8"/>
  <c r="O124" i="8"/>
  <c r="AA242" i="8"/>
  <c r="AK97" i="8"/>
  <c r="V53" i="8"/>
  <c r="AF326" i="8"/>
  <c r="V218" i="8"/>
  <c r="AA124" i="8"/>
  <c r="AA39" i="8"/>
  <c r="V203" i="8"/>
  <c r="O312" i="8"/>
  <c r="AF291" i="8"/>
  <c r="AA244" i="8"/>
  <c r="AA213" i="8"/>
  <c r="V269" i="8"/>
  <c r="O296" i="8"/>
  <c r="AF321" i="8"/>
  <c r="V234" i="8"/>
  <c r="AA312" i="8"/>
  <c r="O81" i="8"/>
  <c r="AF284" i="8"/>
  <c r="AK281" i="8"/>
  <c r="AA150" i="8"/>
  <c r="AK239" i="8"/>
  <c r="V159" i="8"/>
  <c r="AK232" i="8"/>
  <c r="V323" i="8"/>
  <c r="O39" i="8"/>
  <c r="AF97" i="8"/>
  <c r="AK64" i="8"/>
  <c r="V285" i="8"/>
  <c r="AF82" i="8"/>
  <c r="AK49" i="8"/>
  <c r="AF127" i="8"/>
  <c r="AK154" i="8"/>
  <c r="O183" i="8"/>
  <c r="O217" i="8"/>
  <c r="O147" i="8"/>
  <c r="V264" i="8"/>
  <c r="O188" i="8"/>
  <c r="AK94" i="8"/>
  <c r="O79" i="8"/>
  <c r="O120" i="8"/>
  <c r="V204" i="8"/>
  <c r="AA299" i="8"/>
  <c r="AK182" i="8"/>
  <c r="O127" i="8"/>
  <c r="AA74" i="8"/>
  <c r="AF70" i="8"/>
  <c r="V56" i="8"/>
  <c r="O96" i="8"/>
  <c r="V310" i="8"/>
  <c r="AK212" i="8"/>
  <c r="AF179" i="8"/>
  <c r="AK244" i="8"/>
  <c r="O239" i="8"/>
  <c r="AA160" i="8"/>
  <c r="AK98" i="8"/>
  <c r="O47" i="8"/>
  <c r="AF132" i="8"/>
  <c r="AA296" i="8"/>
  <c r="AK181" i="8"/>
  <c r="AA83" i="8"/>
  <c r="AA294" i="8"/>
  <c r="AF104" i="8"/>
  <c r="AA203" i="8"/>
  <c r="AA317" i="8"/>
  <c r="AF256" i="8"/>
  <c r="AK262" i="8"/>
  <c r="AK125" i="8"/>
  <c r="AA96" i="8"/>
  <c r="AF53" i="8"/>
  <c r="AK104" i="8"/>
  <c r="V14" i="8"/>
  <c r="V322" i="8"/>
  <c r="AK242" i="8"/>
  <c r="O159" i="8"/>
  <c r="AK28" i="8"/>
  <c r="AF22" i="8"/>
  <c r="O260" i="8"/>
  <c r="AK159" i="8"/>
  <c r="AK75" i="8"/>
  <c r="V101" i="8"/>
  <c r="AK12" i="8"/>
  <c r="O145" i="8"/>
  <c r="AF74" i="8"/>
  <c r="AA281" i="8"/>
  <c r="O201" i="8"/>
  <c r="AF145" i="8"/>
  <c r="AK174" i="8"/>
  <c r="AF182" i="8"/>
  <c r="AF95" i="8"/>
  <c r="AK108" i="8"/>
  <c r="O281" i="8"/>
  <c r="AF289" i="8"/>
  <c r="V235" i="8"/>
  <c r="V263" i="8"/>
  <c r="AA68" i="8"/>
  <c r="AF134" i="8"/>
  <c r="O156" i="8"/>
  <c r="AF172" i="8"/>
  <c r="AK76" i="8"/>
  <c r="AF15" i="8"/>
  <c r="AF314" i="8"/>
  <c r="AF133" i="8"/>
  <c r="AF206" i="8"/>
  <c r="AA80" i="8"/>
  <c r="AF38" i="8"/>
  <c r="AA311" i="8"/>
  <c r="AF191" i="8"/>
  <c r="AA102" i="8"/>
  <c r="AF160" i="8"/>
  <c r="AA99" i="8"/>
  <c r="AK259" i="8"/>
  <c r="AA76" i="8"/>
  <c r="AK101" i="8"/>
  <c r="AF308" i="8"/>
  <c r="AF28" i="8"/>
  <c r="AK229" i="8"/>
  <c r="AF100" i="8"/>
  <c r="O189" i="8"/>
  <c r="O153" i="8"/>
  <c r="V150" i="8"/>
  <c r="O267" i="8"/>
  <c r="AK254" i="8"/>
  <c r="AF39" i="8"/>
  <c r="V74" i="8"/>
  <c r="AF242" i="8"/>
  <c r="O69" i="8"/>
  <c r="V133" i="8"/>
  <c r="AK260" i="8"/>
  <c r="V202" i="8"/>
  <c r="O176" i="8"/>
  <c r="AK253" i="8"/>
  <c r="AA136" i="8"/>
  <c r="O24" i="8"/>
  <c r="V164" i="8"/>
  <c r="O52" i="8"/>
  <c r="AA145" i="8"/>
  <c r="AA57" i="8"/>
  <c r="AK184" i="8"/>
  <c r="V106" i="8"/>
  <c r="AF178" i="8"/>
  <c r="AA260" i="8"/>
  <c r="AA218" i="8"/>
  <c r="O184" i="8"/>
  <c r="AF188" i="8"/>
  <c r="O299" i="8"/>
  <c r="AK81" i="8"/>
  <c r="V39" i="8"/>
  <c r="V153" i="8"/>
  <c r="AK126" i="8"/>
  <c r="V122" i="8"/>
  <c r="V44" i="8"/>
  <c r="O311" i="8"/>
  <c r="AA255" i="8"/>
  <c r="AA40" i="8"/>
  <c r="AK41" i="8"/>
  <c r="AF65" i="8"/>
  <c r="V291" i="8"/>
  <c r="V119" i="8"/>
  <c r="AF103" i="8"/>
  <c r="AK78" i="8"/>
  <c r="AK272" i="8"/>
  <c r="AK69" i="8"/>
  <c r="AK38" i="8"/>
  <c r="AK65" i="8"/>
  <c r="AK283" i="8"/>
  <c r="AA14" i="8"/>
  <c r="O241" i="8"/>
  <c r="O130" i="8"/>
  <c r="O322" i="8"/>
  <c r="AK286" i="8"/>
  <c r="V50" i="8"/>
  <c r="AF12" i="8"/>
  <c r="O146" i="8"/>
  <c r="O110" i="8"/>
  <c r="O80" i="8"/>
  <c r="O245" i="8"/>
  <c r="O280" i="8"/>
  <c r="V313" i="8"/>
  <c r="AA146" i="8"/>
  <c r="O235" i="8"/>
  <c r="O256" i="8"/>
  <c r="V96" i="8"/>
  <c r="AF81" i="8"/>
  <c r="AA15" i="8"/>
  <c r="O320" i="8"/>
  <c r="AA234" i="8"/>
  <c r="V104" i="8"/>
  <c r="AF161" i="8"/>
  <c r="V69" i="8"/>
  <c r="AA272" i="8"/>
  <c r="AF238" i="8"/>
  <c r="V71" i="8"/>
  <c r="AF76" i="8"/>
  <c r="AA323" i="8"/>
  <c r="V188" i="8"/>
  <c r="AF189" i="8"/>
  <c r="AA155" i="8"/>
  <c r="O91" i="8"/>
  <c r="AA207" i="8"/>
  <c r="O74" i="8"/>
  <c r="O258" i="8"/>
  <c r="V179" i="8"/>
  <c r="O132" i="8"/>
  <c r="AA292" i="8"/>
  <c r="O286" i="8"/>
  <c r="AF183" i="8"/>
  <c r="AF105" i="8"/>
  <c r="AF313" i="8"/>
  <c r="AF176" i="8"/>
  <c r="V49" i="8"/>
  <c r="O154" i="8"/>
  <c r="AK315" i="8"/>
  <c r="AK121" i="8"/>
  <c r="V54" i="8"/>
  <c r="O162" i="8"/>
  <c r="V134" i="8"/>
  <c r="AA103" i="8"/>
  <c r="AF265" i="8"/>
  <c r="AK45" i="8"/>
  <c r="AA319" i="8"/>
  <c r="AK319" i="8"/>
  <c r="V110" i="8"/>
  <c r="V212" i="8"/>
  <c r="AF25" i="8"/>
  <c r="AA56" i="8"/>
  <c r="AK26" i="8"/>
  <c r="V230" i="8"/>
  <c r="AF202" i="8"/>
  <c r="AA320" i="8"/>
  <c r="AF156" i="8"/>
  <c r="O67" i="8"/>
  <c r="V68" i="8"/>
  <c r="AA254" i="8"/>
  <c r="V189" i="8"/>
  <c r="AF311" i="8"/>
  <c r="V105" i="8"/>
  <c r="O263" i="8"/>
  <c r="O291" i="8"/>
  <c r="AA13" i="8"/>
  <c r="AK29" i="8"/>
  <c r="V13" i="8"/>
  <c r="AK287" i="8"/>
  <c r="AK133" i="8"/>
  <c r="AK79" i="8"/>
  <c r="AA23" i="8"/>
  <c r="V180" i="8"/>
  <c r="V38" i="8"/>
  <c r="AK128" i="8"/>
  <c r="AF204" i="8"/>
  <c r="AF16" i="8"/>
  <c r="AK148" i="8"/>
  <c r="AF52" i="8"/>
  <c r="AK147" i="8"/>
  <c r="V262" i="8"/>
  <c r="AK179" i="8"/>
  <c r="O325" i="8"/>
  <c r="V57" i="8"/>
  <c r="V75" i="8"/>
  <c r="AK258" i="8"/>
  <c r="AA100" i="8"/>
  <c r="AK77" i="8"/>
  <c r="AF272" i="8"/>
  <c r="O123" i="8"/>
  <c r="O65" i="8"/>
  <c r="AA201" i="8"/>
  <c r="AA25" i="8"/>
  <c r="AK292" i="8"/>
  <c r="AA256" i="8"/>
  <c r="AF18" i="8"/>
  <c r="V46" i="8"/>
  <c r="AA27" i="8"/>
  <c r="O310" i="8"/>
  <c r="AK230" i="8"/>
  <c r="AK188" i="8"/>
  <c r="O45" i="8"/>
  <c r="AK235" i="8"/>
  <c r="AK70" i="8"/>
  <c r="V152" i="8"/>
  <c r="O68" i="8"/>
  <c r="AA177" i="8"/>
  <c r="O214" i="8"/>
  <c r="V161" i="8"/>
  <c r="AF101" i="8"/>
  <c r="AF285" i="8"/>
  <c r="AK201" i="8"/>
  <c r="AK82" i="8"/>
  <c r="O240" i="8"/>
  <c r="V108" i="8"/>
  <c r="AA93" i="8"/>
  <c r="O46" i="8"/>
  <c r="AA241" i="8"/>
  <c r="V216" i="8"/>
  <c r="AF211" i="8"/>
  <c r="AK68" i="8"/>
  <c r="O204" i="8"/>
  <c r="AF243" i="8"/>
  <c r="O236" i="8"/>
  <c r="AF67" i="8"/>
  <c r="AK297" i="8"/>
  <c r="AK266" i="8"/>
  <c r="AK173" i="8"/>
  <c r="AF199" i="8"/>
  <c r="V94" i="8"/>
  <c r="V186" i="8"/>
  <c r="O186" i="8"/>
  <c r="AA120" i="8"/>
  <c r="O82" i="8"/>
  <c r="AK161" i="8"/>
  <c r="AA158" i="8"/>
  <c r="V121" i="8"/>
  <c r="AK204" i="8"/>
  <c r="AA21" i="8"/>
  <c r="AF17" i="8"/>
  <c r="AK110" i="8"/>
  <c r="V240" i="8"/>
  <c r="O122" i="8"/>
  <c r="AF71" i="8"/>
  <c r="AF136" i="8"/>
  <c r="V23" i="8"/>
  <c r="AA290" i="8"/>
  <c r="O313" i="8"/>
  <c r="AA67" i="8"/>
  <c r="AA258" i="8"/>
  <c r="AA49" i="8"/>
  <c r="AK316" i="8"/>
  <c r="V321" i="8"/>
  <c r="AK91" i="8"/>
  <c r="AK162" i="8"/>
  <c r="O155" i="8"/>
  <c r="V226" i="8"/>
  <c r="AF214" i="8"/>
  <c r="AK124" i="8"/>
  <c r="V72" i="8"/>
  <c r="V136" i="8"/>
  <c r="AF210" i="8"/>
  <c r="O93" i="8"/>
  <c r="V182" i="8"/>
  <c r="V325" i="8"/>
  <c r="AK23" i="8"/>
  <c r="AF14" i="8"/>
  <c r="O21" i="8"/>
  <c r="AK175" i="8"/>
  <c r="AK20" i="8"/>
  <c r="AK129" i="8"/>
  <c r="O75" i="8"/>
  <c r="AA228" i="8"/>
  <c r="O288" i="8"/>
  <c r="AK57" i="8"/>
  <c r="AA126" i="8"/>
  <c r="AA289" i="8"/>
  <c r="AF262" i="8"/>
  <c r="V288" i="8"/>
  <c r="V26" i="8"/>
  <c r="AA182" i="8"/>
  <c r="AK120" i="8"/>
  <c r="AF208" i="8"/>
  <c r="AK123" i="8"/>
  <c r="AA75" i="8"/>
  <c r="AF120" i="8"/>
  <c r="O158" i="8"/>
  <c r="O66" i="8"/>
  <c r="AA159" i="8"/>
  <c r="AA157" i="8"/>
  <c r="O309" i="8"/>
  <c r="AA211" i="8"/>
  <c r="AA97" i="8"/>
  <c r="AK160" i="8"/>
  <c r="AK67" i="8"/>
  <c r="AF218" i="8"/>
  <c r="AK285" i="8"/>
  <c r="O218" i="8"/>
  <c r="O181" i="8"/>
  <c r="AK14" i="8"/>
  <c r="AF109" i="8"/>
  <c r="O92" i="8"/>
  <c r="AA105" i="8"/>
  <c r="O43" i="8"/>
  <c r="V286" i="8"/>
  <c r="O54" i="8"/>
  <c r="V311" i="8"/>
  <c r="AK216" i="8"/>
  <c r="AF259" i="8"/>
  <c r="O206" i="8"/>
  <c r="O31" i="8"/>
  <c r="V239" i="8"/>
  <c r="O209" i="8"/>
  <c r="V128" i="8"/>
  <c r="AF147" i="8"/>
  <c r="V241" i="8"/>
  <c r="AF213" i="8"/>
  <c r="AA236" i="8"/>
  <c r="O152" i="8"/>
  <c r="AA231" i="8"/>
  <c r="AA205" i="8"/>
  <c r="AF173" i="8"/>
  <c r="V293" i="8"/>
  <c r="AK25" i="8"/>
  <c r="O19" i="8"/>
  <c r="O205" i="8"/>
  <c r="AF235" i="8"/>
  <c r="AF56" i="8"/>
  <c r="AA293" i="8"/>
  <c r="AA94" i="8"/>
  <c r="AK228" i="8"/>
  <c r="AK324" i="8"/>
  <c r="AK72" i="8"/>
  <c r="AK99" i="8"/>
  <c r="AA266" i="8"/>
  <c r="AF174" i="8"/>
  <c r="AA230" i="8"/>
  <c r="AK256" i="8"/>
  <c r="V174" i="8"/>
  <c r="O180" i="8"/>
  <c r="V318" i="8"/>
  <c r="AK15" i="8"/>
  <c r="AA183" i="8"/>
  <c r="AF205" i="8"/>
  <c r="V172" i="8"/>
  <c r="AA172" i="8"/>
  <c r="AF73" i="8"/>
  <c r="V83" i="8"/>
  <c r="AK109" i="8"/>
  <c r="AK95" i="8"/>
  <c r="O83" i="8"/>
  <c r="O215" i="8"/>
  <c r="AK80" i="8"/>
  <c r="AF233" i="8"/>
  <c r="AA206" i="8"/>
  <c r="AF241" i="8"/>
  <c r="AA181" i="8"/>
  <c r="O173" i="8"/>
  <c r="O119" i="8"/>
  <c r="V267" i="8"/>
  <c r="O230" i="8"/>
  <c r="AA109" i="8"/>
  <c r="AF282" i="8"/>
  <c r="AA151" i="8"/>
  <c r="V118" i="8"/>
  <c r="AK149" i="8"/>
  <c r="V47" i="8"/>
  <c r="AF124" i="8"/>
  <c r="AA123" i="8"/>
  <c r="O237" i="8"/>
  <c r="AF231" i="8"/>
  <c r="O20" i="8"/>
  <c r="AF130" i="8"/>
  <c r="AA73" i="8"/>
  <c r="AK240" i="8"/>
  <c r="V148" i="8"/>
  <c r="V290" i="8"/>
  <c r="AK214" i="8"/>
  <c r="O16" i="8"/>
  <c r="AA212" i="8"/>
  <c r="AA82" i="8"/>
  <c r="V229" i="8"/>
  <c r="AA185" i="8"/>
  <c r="AA295" i="8"/>
  <c r="V160" i="8"/>
  <c r="AF46" i="8"/>
  <c r="AF93" i="8"/>
  <c r="AF201" i="8"/>
  <c r="AF228" i="8"/>
  <c r="O118" i="8"/>
  <c r="AF255" i="8"/>
  <c r="V92" i="8"/>
  <c r="AF293" i="8"/>
  <c r="AF66" i="8"/>
  <c r="AA308" i="8"/>
  <c r="AA217" i="8"/>
  <c r="V120" i="8"/>
  <c r="AK136" i="8"/>
  <c r="AF270" i="8"/>
  <c r="V30" i="8"/>
  <c r="AF45" i="8"/>
  <c r="V103" i="8"/>
  <c r="AA130" i="8"/>
  <c r="AA55" i="8"/>
  <c r="AF43" i="8"/>
  <c r="V245" i="8"/>
  <c r="O172" i="8"/>
  <c r="AF175" i="8"/>
  <c r="AF154" i="8"/>
  <c r="AK257" i="8"/>
  <c r="AA226" i="8"/>
  <c r="O211" i="8"/>
  <c r="V326" i="8"/>
  <c r="O234" i="8"/>
  <c r="V200" i="8"/>
  <c r="AF307" i="8"/>
  <c r="AF126" i="8"/>
  <c r="AK326" i="8"/>
  <c r="AF24" i="8"/>
  <c r="O70" i="8"/>
  <c r="AK137" i="8"/>
  <c r="AA129" i="8"/>
  <c r="O77" i="8"/>
  <c r="AK30" i="8"/>
  <c r="V132" i="8"/>
  <c r="AA245" i="8"/>
  <c r="AK190" i="8"/>
  <c r="AF232" i="8"/>
  <c r="AF125" i="8"/>
  <c r="AK311" i="8"/>
  <c r="AA30" i="8"/>
  <c r="AF322" i="8"/>
  <c r="V95" i="8"/>
  <c r="V280" i="8"/>
  <c r="AK307" i="8"/>
  <c r="V176" i="8"/>
  <c r="V27" i="8"/>
  <c r="AF129" i="8"/>
  <c r="AF296" i="8"/>
  <c r="AK203" i="8"/>
  <c r="AF266" i="8"/>
  <c r="AA18" i="8"/>
  <c r="O51" i="8"/>
  <c r="AK280" i="8"/>
  <c r="AK18" i="8"/>
  <c r="AF286" i="8"/>
  <c r="AK74" i="8"/>
  <c r="AK71" i="8"/>
  <c r="O107" i="8"/>
  <c r="AF31" i="8"/>
  <c r="O293" i="8"/>
  <c r="V82" i="8"/>
  <c r="AK107" i="8"/>
  <c r="AK199" i="8"/>
  <c r="O269" i="8"/>
  <c r="V135" i="8"/>
  <c r="AK151" i="8"/>
  <c r="AA148" i="8"/>
  <c r="AA263" i="8"/>
  <c r="AA233" i="8"/>
  <c r="V156" i="8"/>
  <c r="O42" i="8"/>
  <c r="AF315" i="8"/>
  <c r="AA44" i="8"/>
  <c r="AA204" i="8"/>
  <c r="O163" i="8"/>
  <c r="O232" i="8"/>
  <c r="AA187" i="8"/>
  <c r="AA53" i="8"/>
  <c r="O314" i="8"/>
  <c r="V233" i="8"/>
  <c r="AK295" i="8"/>
  <c r="V190" i="8"/>
  <c r="AK130" i="8"/>
  <c r="AK233" i="8"/>
  <c r="V242" i="8"/>
  <c r="V284" i="8"/>
  <c r="AF47" i="8"/>
  <c r="V296" i="8"/>
  <c r="V294" i="8"/>
  <c r="O200" i="8"/>
  <c r="AK187" i="8"/>
  <c r="AF281" i="8"/>
  <c r="AA180" i="8"/>
  <c r="V177" i="8"/>
  <c r="O161" i="8"/>
  <c r="AF118" i="8"/>
  <c r="AA173" i="8"/>
  <c r="O98" i="8"/>
  <c r="V270" i="8"/>
  <c r="AF297" i="8"/>
  <c r="AA92" i="8"/>
  <c r="AK27" i="8"/>
  <c r="AK39" i="8"/>
  <c r="AA28" i="8"/>
  <c r="V237" i="8"/>
  <c r="O271" i="8"/>
  <c r="V316" i="8"/>
  <c r="AA199" i="8"/>
  <c r="AF159" i="8"/>
  <c r="AA200" i="8"/>
  <c r="O109" i="8"/>
  <c r="V297" i="8"/>
  <c r="V157" i="8"/>
  <c r="AF80" i="8"/>
  <c r="V255" i="8"/>
  <c r="AF261" i="8"/>
  <c r="AA17" i="8"/>
  <c r="AA271" i="8"/>
  <c r="AF20" i="8"/>
  <c r="AK156" i="8"/>
  <c r="AA153" i="8"/>
  <c r="AA314" i="8"/>
  <c r="AF69" i="8"/>
  <c r="V131" i="8"/>
  <c r="V41" i="8"/>
  <c r="V259" i="8"/>
  <c r="O317" i="8"/>
  <c r="V187" i="8"/>
  <c r="V201" i="8"/>
  <c r="O22" i="8"/>
  <c r="AK48" i="8"/>
  <c r="O105" i="8"/>
  <c r="AA78" i="8"/>
  <c r="V17" i="8"/>
  <c r="AF283" i="8"/>
  <c r="AK19" i="8"/>
  <c r="AF155" i="8"/>
  <c r="AK290" i="8"/>
  <c r="V102" i="8"/>
  <c r="AK263" i="8"/>
  <c r="O44" i="8"/>
  <c r="AK134" i="8"/>
  <c r="V228" i="8"/>
  <c r="AF48" i="8"/>
  <c r="AK226" i="8"/>
  <c r="AF92" i="8"/>
  <c r="AF153" i="8"/>
  <c r="V28" i="8"/>
  <c r="AF268" i="8"/>
  <c r="V317" i="8"/>
  <c r="AA175" i="8"/>
  <c r="V207" i="8"/>
  <c r="AK55" i="8"/>
  <c r="AA98" i="8"/>
  <c r="O297" i="8"/>
  <c r="AF107" i="8"/>
  <c r="AK261" i="8"/>
  <c r="O157" i="8"/>
  <c r="AA210" i="8"/>
  <c r="AF260" i="8"/>
  <c r="AA208" i="8"/>
  <c r="AF253" i="8"/>
  <c r="AA232" i="8"/>
  <c r="V107" i="8"/>
  <c r="O242" i="8"/>
  <c r="V227" i="8"/>
  <c r="V73" i="8"/>
  <c r="AK288" i="8"/>
  <c r="O213" i="8"/>
  <c r="AF216" i="8"/>
  <c r="AK54" i="8"/>
  <c r="O208" i="8"/>
  <c r="O18" i="8"/>
  <c r="AK231" i="8"/>
  <c r="AF50" i="8"/>
  <c r="AK207" i="8"/>
  <c r="O136" i="8"/>
  <c r="AA108" i="8"/>
  <c r="O160" i="8"/>
  <c r="AA316" i="8"/>
  <c r="V81" i="8"/>
  <c r="AA288" i="8"/>
  <c r="AF244" i="8"/>
  <c r="AA121" i="8"/>
  <c r="V320" i="8"/>
  <c r="V289" i="8"/>
  <c r="AF106" i="8"/>
  <c r="AA137" i="8"/>
  <c r="AF51" i="8"/>
  <c r="AA81" i="8"/>
  <c r="O73" i="8"/>
  <c r="O137" i="8"/>
  <c r="O308" i="8"/>
  <c r="V299" i="8"/>
  <c r="AA186" i="8"/>
  <c r="AF91" i="8"/>
  <c r="AK322" i="8"/>
  <c r="V271" i="8"/>
  <c r="O133" i="8"/>
  <c r="V155" i="8"/>
  <c r="O128" i="8"/>
  <c r="AA128" i="8"/>
  <c r="O174" i="8"/>
  <c r="AA42" i="8"/>
  <c r="V206" i="8"/>
  <c r="AF96" i="8"/>
  <c r="V210" i="8"/>
  <c r="O290" i="8"/>
  <c r="O229" i="8"/>
  <c r="AF123" i="8"/>
  <c r="AF186" i="8"/>
  <c r="AF229" i="8"/>
  <c r="AA297" i="8"/>
  <c r="AA134" i="8"/>
  <c r="AA106" i="8"/>
  <c r="V154" i="8"/>
  <c r="AA66" i="8"/>
  <c r="AK172" i="8"/>
  <c r="O315" i="8"/>
  <c r="AF121" i="8"/>
  <c r="AK17" i="8"/>
  <c r="O175" i="8"/>
  <c r="O284" i="8"/>
  <c r="V64" i="8"/>
  <c r="O272" i="8"/>
  <c r="O289" i="8"/>
  <c r="O268" i="8"/>
  <c r="V29" i="8"/>
  <c r="AK241" i="8"/>
  <c r="AF316" i="8"/>
  <c r="V43" i="8"/>
  <c r="O324" i="8"/>
  <c r="AK176" i="8"/>
  <c r="O282" i="8"/>
  <c r="O135" i="8"/>
  <c r="O28" i="8"/>
  <c r="O318" i="8"/>
  <c r="AA156" i="8"/>
  <c r="AA215" i="8"/>
  <c r="O17" i="8"/>
  <c r="V149" i="8"/>
  <c r="AF187" i="8"/>
  <c r="AA79" i="8"/>
  <c r="AF317" i="8"/>
  <c r="AK52" i="8"/>
  <c r="AA91" i="8"/>
  <c r="O264" i="8"/>
  <c r="V231" i="8"/>
  <c r="V214" i="8"/>
  <c r="AA43" i="8"/>
  <c r="V45" i="8"/>
  <c r="V31" i="8"/>
  <c r="AK44" i="8"/>
  <c r="AK73" i="8"/>
  <c r="AK293" i="8"/>
  <c r="AK200" i="8"/>
  <c r="AA315" i="8"/>
  <c r="AF227" i="8"/>
  <c r="V24" i="8"/>
  <c r="AA184" i="8"/>
  <c r="AK157" i="8"/>
  <c r="AK189" i="8"/>
  <c r="AA71" i="8"/>
  <c r="O13" i="8"/>
  <c r="O25" i="8"/>
  <c r="O283" i="8"/>
  <c r="AF150" i="8"/>
  <c r="AA64" i="8"/>
  <c r="AA321" i="8"/>
  <c r="AF257" i="8"/>
  <c r="AK31" i="8"/>
  <c r="AK155" i="8"/>
  <c r="AK282" i="8"/>
  <c r="AK153" i="8"/>
  <c r="AK245" i="8"/>
  <c r="AF44" i="8"/>
  <c r="AF310" i="8"/>
  <c r="AF75" i="8"/>
  <c r="V185" i="8"/>
  <c r="AK131" i="8"/>
  <c r="O104" i="8"/>
  <c r="AF41" i="8"/>
  <c r="AK284" i="8"/>
  <c r="V146" i="8"/>
  <c r="AF287" i="8"/>
  <c r="AA284" i="8"/>
  <c r="AK298" i="8"/>
  <c r="O103" i="8"/>
  <c r="AA47" i="8"/>
  <c r="V315" i="8"/>
  <c r="AK50" i="8"/>
  <c r="O321" i="8"/>
  <c r="AF42" i="8"/>
  <c r="O72" i="8"/>
  <c r="O210" i="8"/>
  <c r="AK243" i="8"/>
  <c r="AK309" i="8"/>
  <c r="V70" i="8"/>
  <c r="AA125" i="8"/>
  <c r="O179" i="8"/>
  <c r="V79" i="8"/>
  <c r="AA291" i="8"/>
  <c r="AA127" i="8"/>
  <c r="V261" i="8"/>
  <c r="AF292" i="8"/>
  <c r="AA154" i="8"/>
  <c r="AF239" i="8"/>
  <c r="AA50" i="8"/>
  <c r="V298" i="8"/>
  <c r="AA95" i="8"/>
  <c r="AK21" i="8"/>
  <c r="AK265" i="8"/>
  <c r="AF157" i="8"/>
  <c r="V91" i="8"/>
  <c r="AA164" i="8"/>
  <c r="V287" i="8"/>
  <c r="AA287" i="8"/>
  <c r="AA132" i="8"/>
  <c r="AK51" i="8"/>
  <c r="V129" i="8"/>
  <c r="AK313" i="8"/>
  <c r="AF83" i="8"/>
  <c r="AA259" i="8"/>
  <c r="AK211" i="8"/>
  <c r="V16" i="8"/>
  <c r="AA161" i="8"/>
  <c r="AA54" i="8"/>
  <c r="O125" i="8"/>
  <c r="AF78" i="8"/>
  <c r="AA70" i="8"/>
  <c r="AA26" i="8"/>
  <c r="O15" i="8"/>
  <c r="O151" i="8"/>
  <c r="AA286" i="8"/>
  <c r="AF212" i="8"/>
  <c r="O121" i="8"/>
  <c r="AF26" i="8"/>
  <c r="V151" i="8"/>
  <c r="AK46" i="8"/>
  <c r="V19" i="8"/>
  <c r="AK185" i="8"/>
  <c r="V66" i="8"/>
  <c r="AF181" i="8"/>
  <c r="V283" i="8"/>
  <c r="V244" i="8"/>
  <c r="AK264" i="8"/>
  <c r="AK289" i="8"/>
  <c r="O295" i="8"/>
  <c r="AK312" i="8"/>
  <c r="AF294" i="8"/>
  <c r="AF135" i="8"/>
  <c r="AK270" i="8"/>
  <c r="AA267" i="8"/>
  <c r="V215" i="8"/>
  <c r="AK105" i="8"/>
  <c r="O238" i="8"/>
  <c r="V77" i="8"/>
  <c r="AK135" i="8"/>
  <c r="V15" i="8"/>
  <c r="V162" i="8"/>
  <c r="O185" i="8"/>
  <c r="AF162" i="8"/>
  <c r="V236" i="8"/>
  <c r="AK267" i="8"/>
  <c r="AF226" i="8"/>
  <c r="V312" i="8"/>
  <c r="V173" i="8"/>
  <c r="AK163" i="8"/>
  <c r="AK269" i="8"/>
  <c r="AK321" i="8"/>
  <c r="AF269" i="8"/>
  <c r="AA190" i="8"/>
  <c r="AF40" i="8"/>
  <c r="AK146" i="8"/>
  <c r="AK202" i="8"/>
  <c r="AA265" i="8"/>
  <c r="AK213" i="8"/>
  <c r="AF102" i="8"/>
  <c r="AF54" i="8"/>
  <c r="AA12" i="8"/>
  <c r="AK13" i="8"/>
  <c r="O207" i="8"/>
  <c r="O27" i="8"/>
  <c r="V21" i="8"/>
  <c r="O108" i="8"/>
  <c r="V213" i="8"/>
  <c r="AA283" i="8"/>
  <c r="AA51" i="8"/>
  <c r="AA324" i="8"/>
  <c r="AF295" i="8"/>
  <c r="AF320" i="8"/>
  <c r="AA188" i="8"/>
  <c r="O178" i="8"/>
  <c r="AA41" i="8"/>
  <c r="V282" i="8"/>
  <c r="AK209" i="8"/>
  <c r="V211" i="8"/>
  <c r="V163" i="8"/>
  <c r="AF288" i="8"/>
  <c r="V145" i="8"/>
  <c r="AA162" i="8"/>
  <c r="AA77" i="8"/>
  <c r="O182" i="8"/>
  <c r="AK186" i="8"/>
  <c r="AK310" i="8"/>
  <c r="V97" i="8"/>
  <c r="AA322" i="8"/>
  <c r="AA149" i="8"/>
  <c r="O131" i="8"/>
  <c r="AF190" i="8"/>
  <c r="V147" i="8"/>
  <c r="AA19" i="8"/>
  <c r="AF148" i="8"/>
  <c r="V260" i="8"/>
  <c r="V232" i="8"/>
  <c r="AF108" i="8"/>
  <c r="AA318" i="8"/>
  <c r="V258" i="8"/>
  <c r="V281" i="8"/>
  <c r="V205" i="8"/>
  <c r="V51" i="8"/>
  <c r="AF230" i="8"/>
  <c r="V48" i="8"/>
  <c r="AA52" i="8"/>
  <c r="AF325" i="8"/>
  <c r="V126" i="8"/>
  <c r="AK164" i="8"/>
  <c r="AF68" i="8"/>
  <c r="AA237" i="8"/>
  <c r="V243" i="8"/>
  <c r="AK53" i="8"/>
  <c r="O50" i="8"/>
  <c r="V123" i="8"/>
  <c r="AA29" i="8"/>
  <c r="AA264" i="8"/>
  <c r="AA178" i="8"/>
  <c r="AF290" i="8"/>
  <c r="AA16" i="8"/>
  <c r="AA269" i="8"/>
  <c r="V308" i="8"/>
  <c r="AF200" i="8"/>
  <c r="O126" i="8"/>
  <c r="O228" i="8"/>
  <c r="O134" i="8"/>
  <c r="AA262" i="8"/>
  <c r="AA46" i="8"/>
  <c r="AK205" i="8"/>
  <c r="AK24" i="8"/>
  <c r="V67" i="8"/>
  <c r="O150" i="8"/>
  <c r="AF158" i="8"/>
  <c r="O129" i="8"/>
  <c r="AK227" i="8"/>
  <c r="O177" i="8"/>
  <c r="V209" i="8"/>
  <c r="AK40" i="8"/>
  <c r="O187" i="8"/>
  <c r="V217" i="8"/>
  <c r="AA31" i="8"/>
  <c r="AK103" i="8"/>
  <c r="V76" i="8"/>
  <c r="AA101" i="8"/>
  <c r="O259" i="8"/>
  <c r="V324" i="8"/>
  <c r="V178" i="8"/>
  <c r="AK178" i="8"/>
  <c r="AK119" i="8"/>
  <c r="AA20" i="8"/>
  <c r="O101" i="8"/>
  <c r="AF122" i="8"/>
  <c r="V100" i="8"/>
  <c r="V265" i="8"/>
  <c r="O261" i="8"/>
  <c r="AK93" i="8"/>
  <c r="O265" i="8"/>
  <c r="AA118" i="8"/>
  <c r="AF137" i="8"/>
  <c r="AF27" i="8"/>
  <c r="AK217" i="8"/>
  <c r="O56" i="8"/>
  <c r="AF29" i="8"/>
  <c r="AF209" i="8"/>
  <c r="AA282" i="8"/>
  <c r="AA229" i="8"/>
  <c r="V93" i="8"/>
  <c r="O292" i="8"/>
  <c r="AF215" i="8"/>
  <c r="O48" i="8"/>
  <c r="V25" i="8"/>
  <c r="AA107" i="8"/>
  <c r="AA179" i="8"/>
  <c r="V181" i="8"/>
  <c r="AF312" i="8"/>
  <c r="AF163" i="8"/>
  <c r="AF19" i="8"/>
  <c r="V78" i="8"/>
  <c r="O254" i="8"/>
  <c r="AK206" i="8"/>
  <c r="V272" i="8"/>
  <c r="AK42" i="8"/>
  <c r="AA257" i="8"/>
  <c r="O30" i="8"/>
  <c r="AA119" i="8"/>
  <c r="O287" i="8"/>
  <c r="P287" i="8" l="1"/>
  <c r="AB119" i="8"/>
  <c r="P30" i="8"/>
  <c r="AB257" i="8"/>
  <c r="P254" i="8"/>
  <c r="AG19" i="8"/>
  <c r="BL19" i="8" s="1"/>
  <c r="AG163" i="8"/>
  <c r="AG312" i="8"/>
  <c r="AB179" i="8"/>
  <c r="AB107" i="8"/>
  <c r="P48" i="8"/>
  <c r="AG215" i="8"/>
  <c r="P292" i="8"/>
  <c r="AB229" i="8"/>
  <c r="AB282" i="8"/>
  <c r="AG209" i="8"/>
  <c r="AG29" i="8"/>
  <c r="BL29" i="8" s="1"/>
  <c r="P56" i="8"/>
  <c r="AG27" i="8"/>
  <c r="BL27" i="8" s="1"/>
  <c r="AG137" i="8"/>
  <c r="BL137" i="8" s="1"/>
  <c r="AB118" i="8"/>
  <c r="P265" i="8"/>
  <c r="P261" i="8"/>
  <c r="AG122" i="8"/>
  <c r="P101" i="8"/>
  <c r="AB20" i="8"/>
  <c r="BK20" i="8" s="1"/>
  <c r="BM20" i="8" s="1"/>
  <c r="BN20" i="8" s="1"/>
  <c r="P259" i="8"/>
  <c r="AB101" i="8"/>
  <c r="AB31" i="8"/>
  <c r="P187" i="8"/>
  <c r="P177" i="8"/>
  <c r="P129" i="8"/>
  <c r="AG158" i="8"/>
  <c r="P150" i="8"/>
  <c r="AB46" i="8"/>
  <c r="BK46" i="8" s="1"/>
  <c r="BM46" i="8" s="1"/>
  <c r="BN46" i="8" s="1"/>
  <c r="BQ46" i="8" s="1"/>
  <c r="AB262" i="8"/>
  <c r="P134" i="8"/>
  <c r="P228" i="8"/>
  <c r="P126" i="8"/>
  <c r="AG200" i="8"/>
  <c r="AB269" i="8"/>
  <c r="AB16" i="8"/>
  <c r="BK16" i="8" s="1"/>
  <c r="AG290" i="8"/>
  <c r="AB178" i="8"/>
  <c r="AB264" i="8"/>
  <c r="AB29" i="8"/>
  <c r="BK29" i="8" s="1"/>
  <c r="BM29" i="8" s="1"/>
  <c r="BN29" i="8" s="1"/>
  <c r="P50" i="8"/>
  <c r="AB237" i="8"/>
  <c r="AG68" i="8"/>
  <c r="AG325" i="8"/>
  <c r="AB52" i="8"/>
  <c r="BK52" i="8" s="1"/>
  <c r="AG230" i="8"/>
  <c r="AB318" i="8"/>
  <c r="AG108" i="8"/>
  <c r="AG148" i="8"/>
  <c r="AB19" i="8"/>
  <c r="BK19" i="8" s="1"/>
  <c r="BM19" i="8" s="1"/>
  <c r="BN19" i="8" s="1"/>
  <c r="AG190" i="8"/>
  <c r="P131" i="8"/>
  <c r="AB149" i="8"/>
  <c r="AB322" i="8"/>
  <c r="P182" i="8"/>
  <c r="AB77" i="8"/>
  <c r="AB162" i="8"/>
  <c r="AG288" i="8"/>
  <c r="AB41" i="8"/>
  <c r="BK41" i="8" s="1"/>
  <c r="P178" i="8"/>
  <c r="AB188" i="8"/>
  <c r="AG320" i="8"/>
  <c r="AG295" i="8"/>
  <c r="AB324" i="8"/>
  <c r="AB51" i="8"/>
  <c r="BK51" i="8" s="1"/>
  <c r="AB283" i="8"/>
  <c r="P108" i="8"/>
  <c r="P27" i="8"/>
  <c r="P207" i="8"/>
  <c r="AB12" i="8"/>
  <c r="BK12" i="8" s="1"/>
  <c r="BM12" i="8" s="1"/>
  <c r="BN12" i="8" s="1"/>
  <c r="AG54" i="8"/>
  <c r="BL54" i="8" s="1"/>
  <c r="AH54" i="8"/>
  <c r="AG102" i="8"/>
  <c r="AB265" i="8"/>
  <c r="AG40" i="8"/>
  <c r="BL40" i="8" s="1"/>
  <c r="AH40" i="8"/>
  <c r="AB190" i="8"/>
  <c r="AG269" i="8"/>
  <c r="AG226" i="8"/>
  <c r="AG162" i="8"/>
  <c r="P185" i="8"/>
  <c r="P238" i="8"/>
  <c r="AB267" i="8"/>
  <c r="AG135" i="8"/>
  <c r="AG294" i="8"/>
  <c r="P295" i="8"/>
  <c r="AG181" i="8"/>
  <c r="AG26" i="8"/>
  <c r="BL26" i="8" s="1"/>
  <c r="P121" i="8"/>
  <c r="AG212" i="8"/>
  <c r="AB286" i="8"/>
  <c r="P151" i="8"/>
  <c r="P15" i="8"/>
  <c r="AB26" i="8"/>
  <c r="BK26" i="8" s="1"/>
  <c r="BM26" i="8" s="1"/>
  <c r="BN26" i="8" s="1"/>
  <c r="AB70" i="8"/>
  <c r="AG78" i="8"/>
  <c r="P125" i="8"/>
  <c r="AB54" i="8"/>
  <c r="BK54" i="8" s="1"/>
  <c r="AB161" i="8"/>
  <c r="AB259" i="8"/>
  <c r="AG83" i="8"/>
  <c r="AB132" i="8"/>
  <c r="AB287" i="8"/>
  <c r="AB164" i="8"/>
  <c r="BK164" i="8" s="1"/>
  <c r="AG157" i="8"/>
  <c r="AB95" i="8"/>
  <c r="AB50" i="8"/>
  <c r="BK50" i="8" s="1"/>
  <c r="AG239" i="8"/>
  <c r="AB154" i="8"/>
  <c r="AG292" i="8"/>
  <c r="AB127" i="8"/>
  <c r="AB291" i="8"/>
  <c r="P179" i="8"/>
  <c r="AB125" i="8"/>
  <c r="P210" i="8"/>
  <c r="P72" i="8"/>
  <c r="AG42" i="8"/>
  <c r="BL42" i="8" s="1"/>
  <c r="AH42" i="8"/>
  <c r="P321" i="8"/>
  <c r="AB47" i="8"/>
  <c r="BK47" i="8" s="1"/>
  <c r="P103" i="8"/>
  <c r="AB284" i="8"/>
  <c r="AG287" i="8"/>
  <c r="AH41" i="8"/>
  <c r="AG41" i="8"/>
  <c r="BL41" i="8" s="1"/>
  <c r="P104" i="8"/>
  <c r="AG75" i="8"/>
  <c r="AG310" i="8"/>
  <c r="AH44" i="8"/>
  <c r="AG44" i="8"/>
  <c r="BL44" i="8" s="1"/>
  <c r="AG257" i="8"/>
  <c r="AB321" i="8"/>
  <c r="AB64" i="8"/>
  <c r="AG150" i="8"/>
  <c r="P283" i="8"/>
  <c r="P25" i="8"/>
  <c r="P13" i="8"/>
  <c r="AB71" i="8"/>
  <c r="AB184" i="8"/>
  <c r="AG227" i="8"/>
  <c r="AB315" i="8"/>
  <c r="AB43" i="8"/>
  <c r="BK43" i="8" s="1"/>
  <c r="P264" i="8"/>
  <c r="AB91" i="8"/>
  <c r="AG317" i="8"/>
  <c r="AB79" i="8"/>
  <c r="AG187" i="8"/>
  <c r="P17" i="8"/>
  <c r="AB215" i="8"/>
  <c r="AB156" i="8"/>
  <c r="P318" i="8"/>
  <c r="P28" i="8"/>
  <c r="P135" i="8"/>
  <c r="P282" i="8"/>
  <c r="P324" i="8"/>
  <c r="AG316" i="8"/>
  <c r="P268" i="8"/>
  <c r="P289" i="8"/>
  <c r="P272" i="8"/>
  <c r="P284" i="8"/>
  <c r="P175" i="8"/>
  <c r="AG121" i="8"/>
  <c r="P315" i="8"/>
  <c r="AB66" i="8"/>
  <c r="AB106" i="8"/>
  <c r="AB134" i="8"/>
  <c r="AB297" i="8"/>
  <c r="AG229" i="8"/>
  <c r="AG186" i="8"/>
  <c r="AG123" i="8"/>
  <c r="P229" i="8"/>
  <c r="P290" i="8"/>
  <c r="AG96" i="8"/>
  <c r="AB42" i="8"/>
  <c r="BK42" i="8" s="1"/>
  <c r="P174" i="8"/>
  <c r="AB128" i="8"/>
  <c r="P128" i="8"/>
  <c r="P133" i="8"/>
  <c r="AG91" i="8"/>
  <c r="AB186" i="8"/>
  <c r="P308" i="8"/>
  <c r="P137" i="8"/>
  <c r="P73" i="8"/>
  <c r="AB81" i="8"/>
  <c r="AG51" i="8"/>
  <c r="BL51" i="8" s="1"/>
  <c r="AH51" i="8"/>
  <c r="AB137" i="8"/>
  <c r="BK137" i="8" s="1"/>
  <c r="BM137" i="8" s="1"/>
  <c r="BN137" i="8" s="1"/>
  <c r="BP137" i="8" s="1"/>
  <c r="AG106" i="8"/>
  <c r="AB121" i="8"/>
  <c r="AG244" i="8"/>
  <c r="AB288" i="8"/>
  <c r="AB316" i="8"/>
  <c r="P160" i="8"/>
  <c r="AB108" i="8"/>
  <c r="P136" i="8"/>
  <c r="AH50" i="8"/>
  <c r="AG50" i="8"/>
  <c r="BL50" i="8" s="1"/>
  <c r="P18" i="8"/>
  <c r="P208" i="8"/>
  <c r="AG216" i="8"/>
  <c r="P213" i="8"/>
  <c r="P242" i="8"/>
  <c r="AB232" i="8"/>
  <c r="AG253" i="8"/>
  <c r="AB208" i="8"/>
  <c r="AG260" i="8"/>
  <c r="AB210" i="8"/>
  <c r="P157" i="8"/>
  <c r="AG107" i="8"/>
  <c r="P297" i="8"/>
  <c r="AB98" i="8"/>
  <c r="AB175" i="8"/>
  <c r="AG268" i="8"/>
  <c r="AG153" i="8"/>
  <c r="AG92" i="8"/>
  <c r="AH48" i="8"/>
  <c r="AG48" i="8"/>
  <c r="BL48" i="8" s="1"/>
  <c r="P44" i="8"/>
  <c r="AG155" i="8"/>
  <c r="AG283" i="8"/>
  <c r="AB78" i="8"/>
  <c r="P105" i="8"/>
  <c r="P22" i="8"/>
  <c r="P317" i="8"/>
  <c r="AG69" i="8"/>
  <c r="AB314" i="8"/>
  <c r="AB153" i="8"/>
  <c r="AG20" i="8"/>
  <c r="BL20" i="8" s="1"/>
  <c r="AB271" i="8"/>
  <c r="AB17" i="8"/>
  <c r="BK17" i="8" s="1"/>
  <c r="BM17" i="8" s="1"/>
  <c r="BN17" i="8" s="1"/>
  <c r="AG261" i="8"/>
  <c r="AG80" i="8"/>
  <c r="P109" i="8"/>
  <c r="AB200" i="8"/>
  <c r="AG159" i="8"/>
  <c r="AB199" i="8"/>
  <c r="P271" i="8"/>
  <c r="AB28" i="8"/>
  <c r="BK28" i="8" s="1"/>
  <c r="BM28" i="8" s="1"/>
  <c r="BN28" i="8" s="1"/>
  <c r="AB92" i="8"/>
  <c r="AG297" i="8"/>
  <c r="P98" i="8"/>
  <c r="AB173" i="8"/>
  <c r="P161" i="8"/>
  <c r="AB180" i="8"/>
  <c r="AG281" i="8"/>
  <c r="P200" i="8"/>
  <c r="AG47" i="8"/>
  <c r="BL47" i="8" s="1"/>
  <c r="AH47" i="8"/>
  <c r="P314" i="8"/>
  <c r="AB53" i="8"/>
  <c r="BK53" i="8" s="1"/>
  <c r="AB187" i="8"/>
  <c r="P232" i="8"/>
  <c r="P163" i="8"/>
  <c r="AB204" i="8"/>
  <c r="AB44" i="8"/>
  <c r="BK44" i="8" s="1"/>
  <c r="BM44" i="8" s="1"/>
  <c r="BN44" i="8" s="1"/>
  <c r="BQ44" i="8" s="1"/>
  <c r="AG315" i="8"/>
  <c r="P42" i="8"/>
  <c r="AB233" i="8"/>
  <c r="AB263" i="8"/>
  <c r="AB148" i="8"/>
  <c r="P269" i="8"/>
  <c r="P293" i="8"/>
  <c r="AG31" i="8"/>
  <c r="P107" i="8"/>
  <c r="AG286" i="8"/>
  <c r="P51" i="8"/>
  <c r="AB18" i="8"/>
  <c r="BK18" i="8" s="1"/>
  <c r="BM18" i="8" s="1"/>
  <c r="BN18" i="8" s="1"/>
  <c r="AG266" i="8"/>
  <c r="AG296" i="8"/>
  <c r="AG129" i="8"/>
  <c r="AG322" i="8"/>
  <c r="AB30" i="8"/>
  <c r="BK30" i="8" s="1"/>
  <c r="AG125" i="8"/>
  <c r="AG232" i="8"/>
  <c r="AB245" i="8"/>
  <c r="BK245" i="8" s="1"/>
  <c r="P77" i="8"/>
  <c r="AB129" i="8"/>
  <c r="P70" i="8"/>
  <c r="AG24" i="8"/>
  <c r="BL24" i="8" s="1"/>
  <c r="AG126" i="8"/>
  <c r="AG307" i="8"/>
  <c r="P234" i="8"/>
  <c r="P211" i="8"/>
  <c r="AB226" i="8"/>
  <c r="AG154" i="8"/>
  <c r="AG175" i="8"/>
  <c r="P172" i="8"/>
  <c r="AH43" i="8"/>
  <c r="AG43" i="8"/>
  <c r="BL43" i="8" s="1"/>
  <c r="AB55" i="8"/>
  <c r="BK55" i="8" s="1"/>
  <c r="AB130" i="8"/>
  <c r="AG45" i="8"/>
  <c r="BL45" i="8" s="1"/>
  <c r="AH45" i="8"/>
  <c r="AG270" i="8"/>
  <c r="AB217" i="8"/>
  <c r="AB308" i="8"/>
  <c r="AG66" i="8"/>
  <c r="AG293" i="8"/>
  <c r="AG255" i="8"/>
  <c r="P118" i="8"/>
  <c r="AG228" i="8"/>
  <c r="AG201" i="8"/>
  <c r="AG93" i="8"/>
  <c r="AH46" i="8"/>
  <c r="AG46" i="8"/>
  <c r="BL46" i="8" s="1"/>
  <c r="AB295" i="8"/>
  <c r="AB185" i="8"/>
  <c r="AB82" i="8"/>
  <c r="AB212" i="8"/>
  <c r="P16" i="8"/>
  <c r="AB73" i="8"/>
  <c r="AG130" i="8"/>
  <c r="P20" i="8"/>
  <c r="AG231" i="8"/>
  <c r="P237" i="8"/>
  <c r="AB123" i="8"/>
  <c r="AG124" i="8"/>
  <c r="AB151" i="8"/>
  <c r="AG282" i="8"/>
  <c r="AB109" i="8"/>
  <c r="P230" i="8"/>
  <c r="P119" i="8"/>
  <c r="P173" i="8"/>
  <c r="AB181" i="8"/>
  <c r="AG241" i="8"/>
  <c r="AB206" i="8"/>
  <c r="AG233" i="8"/>
  <c r="P215" i="8"/>
  <c r="P83" i="8"/>
  <c r="AG73" i="8"/>
  <c r="AB172" i="8"/>
  <c r="AG205" i="8"/>
  <c r="AB183" i="8"/>
  <c r="P180" i="8"/>
  <c r="AB230" i="8"/>
  <c r="AG174" i="8"/>
  <c r="AB266" i="8"/>
  <c r="AB94" i="8"/>
  <c r="AB293" i="8"/>
  <c r="AG56" i="8"/>
  <c r="BL56" i="8" s="1"/>
  <c r="AH56" i="8"/>
  <c r="AG235" i="8"/>
  <c r="P205" i="8"/>
  <c r="P19" i="8"/>
  <c r="AG173" i="8"/>
  <c r="AB205" i="8"/>
  <c r="AB231" i="8"/>
  <c r="P152" i="8"/>
  <c r="AB236" i="8"/>
  <c r="AG213" i="8"/>
  <c r="AG147" i="8"/>
  <c r="P209" i="8"/>
  <c r="P31" i="8"/>
  <c r="P206" i="8"/>
  <c r="AG259" i="8"/>
  <c r="P54" i="8"/>
  <c r="P43" i="8"/>
  <c r="AB105" i="8"/>
  <c r="P92" i="8"/>
  <c r="AG109" i="8"/>
  <c r="P181" i="8"/>
  <c r="P218" i="8"/>
  <c r="AG218" i="8"/>
  <c r="BL218" i="8" s="1"/>
  <c r="AB97" i="8"/>
  <c r="AB211" i="8"/>
  <c r="P309" i="8"/>
  <c r="AB157" i="8"/>
  <c r="AB159" i="8"/>
  <c r="P66" i="8"/>
  <c r="P158" i="8"/>
  <c r="AG120" i="8"/>
  <c r="AB75" i="8"/>
  <c r="AG208" i="8"/>
  <c r="AB182" i="8"/>
  <c r="AG262" i="8"/>
  <c r="AB289" i="8"/>
  <c r="AB126" i="8"/>
  <c r="P288" i="8"/>
  <c r="AB228" i="8"/>
  <c r="P75" i="8"/>
  <c r="P21" i="8"/>
  <c r="AG14" i="8"/>
  <c r="BL14" i="8" s="1"/>
  <c r="P93" i="8"/>
  <c r="AG210" i="8"/>
  <c r="AG214" i="8"/>
  <c r="P155" i="8"/>
  <c r="AB49" i="8"/>
  <c r="BK49" i="8" s="1"/>
  <c r="AB258" i="8"/>
  <c r="AB67" i="8"/>
  <c r="P313" i="8"/>
  <c r="AB290" i="8"/>
  <c r="AG136" i="8"/>
  <c r="AG71" i="8"/>
  <c r="P122" i="8"/>
  <c r="AG17" i="8"/>
  <c r="BL17" i="8" s="1"/>
  <c r="AB21" i="8"/>
  <c r="BK21" i="8" s="1"/>
  <c r="BM21" i="8" s="1"/>
  <c r="BN21" i="8" s="1"/>
  <c r="AB158" i="8"/>
  <c r="P82" i="8"/>
  <c r="AB120" i="8"/>
  <c r="P186" i="8"/>
  <c r="AG199" i="8"/>
  <c r="AG67" i="8"/>
  <c r="P236" i="8"/>
  <c r="AG243" i="8"/>
  <c r="P204" i="8"/>
  <c r="AG211" i="8"/>
  <c r="AB241" i="8"/>
  <c r="P46" i="8"/>
  <c r="AB93" i="8"/>
  <c r="P240" i="8"/>
  <c r="AG285" i="8"/>
  <c r="AG101" i="8"/>
  <c r="P214" i="8"/>
  <c r="AB177" i="8"/>
  <c r="P68" i="8"/>
  <c r="P45" i="8"/>
  <c r="P310" i="8"/>
  <c r="AB27" i="8"/>
  <c r="BK27" i="8" s="1"/>
  <c r="BM27" i="8" s="1"/>
  <c r="BN27" i="8" s="1"/>
  <c r="AG18" i="8"/>
  <c r="BL18" i="8" s="1"/>
  <c r="AB256" i="8"/>
  <c r="AB25" i="8"/>
  <c r="BK25" i="8" s="1"/>
  <c r="BM25" i="8" s="1"/>
  <c r="BN25" i="8" s="1"/>
  <c r="AB201" i="8"/>
  <c r="P65" i="8"/>
  <c r="P123" i="8"/>
  <c r="AG272" i="8"/>
  <c r="BL272" i="8" s="1"/>
  <c r="AB100" i="8"/>
  <c r="P325" i="8"/>
  <c r="AH52" i="8"/>
  <c r="AG52" i="8"/>
  <c r="BL52" i="8" s="1"/>
  <c r="AG16" i="8"/>
  <c r="BL16" i="8" s="1"/>
  <c r="AG204" i="8"/>
  <c r="AB23" i="8"/>
  <c r="BK23" i="8" s="1"/>
  <c r="AB13" i="8"/>
  <c r="BK13" i="8" s="1"/>
  <c r="P291" i="8"/>
  <c r="P263" i="8"/>
  <c r="AG311" i="8"/>
  <c r="AB254" i="8"/>
  <c r="P67" i="8"/>
  <c r="AG156" i="8"/>
  <c r="AB320" i="8"/>
  <c r="AG202" i="8"/>
  <c r="AB56" i="8"/>
  <c r="BK56" i="8" s="1"/>
  <c r="BM56" i="8" s="1"/>
  <c r="BN56" i="8" s="1"/>
  <c r="BQ56" i="8" s="1"/>
  <c r="AG25" i="8"/>
  <c r="BL25" i="8" s="1"/>
  <c r="AB319" i="8"/>
  <c r="AG265" i="8"/>
  <c r="AB103" i="8"/>
  <c r="P162" i="8"/>
  <c r="P154" i="8"/>
  <c r="AG176" i="8"/>
  <c r="AG313" i="8"/>
  <c r="AG105" i="8"/>
  <c r="AG183" i="8"/>
  <c r="P286" i="8"/>
  <c r="AB292" i="8"/>
  <c r="P132" i="8"/>
  <c r="P258" i="8"/>
  <c r="P74" i="8"/>
  <c r="AB207" i="8"/>
  <c r="P91" i="8"/>
  <c r="AB155" i="8"/>
  <c r="AG189" i="8"/>
  <c r="AB323" i="8"/>
  <c r="AG76" i="8"/>
  <c r="AG238" i="8"/>
  <c r="AB272" i="8"/>
  <c r="BK272" i="8" s="1"/>
  <c r="BM272" i="8" s="1"/>
  <c r="BN272" i="8" s="1"/>
  <c r="BP272" i="8" s="1"/>
  <c r="AG161" i="8"/>
  <c r="AB234" i="8"/>
  <c r="P320" i="8"/>
  <c r="AB15" i="8"/>
  <c r="BK15" i="8" s="1"/>
  <c r="AG81" i="8"/>
  <c r="P256" i="8"/>
  <c r="P235" i="8"/>
  <c r="AB146" i="8"/>
  <c r="P280" i="8"/>
  <c r="P245" i="8"/>
  <c r="P80" i="8"/>
  <c r="P110" i="8"/>
  <c r="P146" i="8"/>
  <c r="AG12" i="8"/>
  <c r="BL12" i="8" s="1"/>
  <c r="P322" i="8"/>
  <c r="P130" i="8"/>
  <c r="P241" i="8"/>
  <c r="AB14" i="8"/>
  <c r="BK14" i="8" s="1"/>
  <c r="BM14" i="8" s="1"/>
  <c r="BN14" i="8" s="1"/>
  <c r="AG103" i="8"/>
  <c r="AG65" i="8"/>
  <c r="AB40" i="8"/>
  <c r="BK40" i="8" s="1"/>
  <c r="BM40" i="8" s="1"/>
  <c r="BN40" i="8" s="1"/>
  <c r="BQ40" i="8" s="1"/>
  <c r="AB255" i="8"/>
  <c r="P311" i="8"/>
  <c r="P299" i="8"/>
  <c r="AG188" i="8"/>
  <c r="P184" i="8"/>
  <c r="AB218" i="8"/>
  <c r="BK218" i="8" s="1"/>
  <c r="AB260" i="8"/>
  <c r="AG178" i="8"/>
  <c r="AB57" i="8"/>
  <c r="AB145" i="8"/>
  <c r="P52" i="8"/>
  <c r="P24" i="8"/>
  <c r="AB136" i="8"/>
  <c r="P176" i="8"/>
  <c r="P69" i="8"/>
  <c r="AG242" i="8"/>
  <c r="AG39" i="8"/>
  <c r="BL39" i="8" s="1"/>
  <c r="AH39" i="8"/>
  <c r="P267" i="8"/>
  <c r="P153" i="8"/>
  <c r="P189" i="8"/>
  <c r="AG100" i="8"/>
  <c r="AG28" i="8"/>
  <c r="BL28" i="8" s="1"/>
  <c r="AG308" i="8"/>
  <c r="AB76" i="8"/>
  <c r="AB99" i="8"/>
  <c r="AG160" i="8"/>
  <c r="AB102" i="8"/>
  <c r="AG191" i="8"/>
  <c r="BL191" i="8" s="1"/>
  <c r="AB311" i="8"/>
  <c r="AG38" i="8"/>
  <c r="BL38" i="8" s="1"/>
  <c r="AH38" i="8"/>
  <c r="AB80" i="8"/>
  <c r="AG206" i="8"/>
  <c r="AG133" i="8"/>
  <c r="AG314" i="8"/>
  <c r="AG15" i="8"/>
  <c r="BL15" i="8" s="1"/>
  <c r="AG172" i="8"/>
  <c r="P156" i="8"/>
  <c r="AG134" i="8"/>
  <c r="AB68" i="8"/>
  <c r="AG289" i="8"/>
  <c r="P281" i="8"/>
  <c r="AG95" i="8"/>
  <c r="AG182" i="8"/>
  <c r="AG145" i="8"/>
  <c r="P201" i="8"/>
  <c r="AB281" i="8"/>
  <c r="AG74" i="8"/>
  <c r="P145" i="8"/>
  <c r="P260" i="8"/>
  <c r="AG22" i="8"/>
  <c r="BL22" i="8" s="1"/>
  <c r="P159" i="8"/>
  <c r="AH53" i="8"/>
  <c r="AG53" i="8"/>
  <c r="BL53" i="8" s="1"/>
  <c r="AB96" i="8"/>
  <c r="AG256" i="8"/>
  <c r="AB317" i="8"/>
  <c r="AB203" i="8"/>
  <c r="AG104" i="8"/>
  <c r="AB294" i="8"/>
  <c r="AB83" i="8"/>
  <c r="AB296" i="8"/>
  <c r="AG132" i="8"/>
  <c r="P47" i="8"/>
  <c r="AB160" i="8"/>
  <c r="P239" i="8"/>
  <c r="AG179" i="8"/>
  <c r="P96" i="8"/>
  <c r="AG70" i="8"/>
  <c r="AB74" i="8"/>
  <c r="P127" i="8"/>
  <c r="AB299" i="8"/>
  <c r="BK299" i="8" s="1"/>
  <c r="P120" i="8"/>
  <c r="P79" i="8"/>
  <c r="P188" i="8"/>
  <c r="P147" i="8"/>
  <c r="P217" i="8"/>
  <c r="P183" i="8"/>
  <c r="AG127" i="8"/>
  <c r="AG82" i="8"/>
  <c r="AG97" i="8"/>
  <c r="P39" i="8"/>
  <c r="AB150" i="8"/>
  <c r="AG284" i="8"/>
  <c r="P81" i="8"/>
  <c r="AB312" i="8"/>
  <c r="AG321" i="8"/>
  <c r="P296" i="8"/>
  <c r="AB213" i="8"/>
  <c r="AB244" i="8"/>
  <c r="AG291" i="8"/>
  <c r="P312" i="8"/>
  <c r="AB39" i="8"/>
  <c r="BK39" i="8" s="1"/>
  <c r="BM39" i="8" s="1"/>
  <c r="BN39" i="8" s="1"/>
  <c r="BQ39" i="8" s="1"/>
  <c r="AB124" i="8"/>
  <c r="AG326" i="8"/>
  <c r="BL326" i="8" s="1"/>
  <c r="AB242" i="8"/>
  <c r="P124" i="8"/>
  <c r="AB163" i="8"/>
  <c r="AG299" i="8"/>
  <c r="BL299" i="8" s="1"/>
  <c r="AB65" i="8"/>
  <c r="P49" i="8"/>
  <c r="AB298" i="8"/>
  <c r="AG119" i="8"/>
  <c r="AB268" i="8"/>
  <c r="P76" i="8"/>
  <c r="P53" i="8"/>
  <c r="AG149" i="8"/>
  <c r="AG30" i="8"/>
  <c r="BL30" i="8" s="1"/>
  <c r="AG217" i="8"/>
  <c r="AG180" i="8"/>
  <c r="P307" i="8"/>
  <c r="AB147" i="8"/>
  <c r="AB227" i="8"/>
  <c r="AG319" i="8"/>
  <c r="AG185" i="8"/>
  <c r="AG152" i="8"/>
  <c r="AG57" i="8"/>
  <c r="AH57" i="8"/>
  <c r="P78" i="8"/>
  <c r="AB176" i="8"/>
  <c r="AG324" i="8"/>
  <c r="AB253" i="8"/>
  <c r="AB239" i="8"/>
  <c r="AG21" i="8"/>
  <c r="BL21" i="8" s="1"/>
  <c r="P266" i="8"/>
  <c r="AG128" i="8"/>
  <c r="P29" i="8"/>
  <c r="AB313" i="8"/>
  <c r="AB240" i="8"/>
  <c r="AB110" i="8"/>
  <c r="BK110" i="8" s="1"/>
  <c r="AG98" i="8"/>
  <c r="AG203" i="8"/>
  <c r="AB69" i="8"/>
  <c r="AB325" i="8"/>
  <c r="AB243" i="8"/>
  <c r="P97" i="8"/>
  <c r="AB285" i="8"/>
  <c r="P12" i="8"/>
  <c r="AG234" i="8"/>
  <c r="P233" i="8"/>
  <c r="P323" i="8"/>
  <c r="P270" i="8"/>
  <c r="AB122" i="8"/>
  <c r="AG298" i="8"/>
  <c r="P257" i="8"/>
  <c r="AB45" i="8"/>
  <c r="BK45" i="8" s="1"/>
  <c r="BM45" i="8" s="1"/>
  <c r="BN45" i="8" s="1"/>
  <c r="BQ45" i="8" s="1"/>
  <c r="P71" i="8"/>
  <c r="P212" i="8"/>
  <c r="AB261" i="8"/>
  <c r="P244" i="8"/>
  <c r="AG94" i="8"/>
  <c r="AG207" i="8"/>
  <c r="AG271" i="8"/>
  <c r="AG146" i="8"/>
  <c r="AG258" i="8"/>
  <c r="AG77" i="8"/>
  <c r="P316" i="8"/>
  <c r="P95" i="8"/>
  <c r="AG13" i="8"/>
  <c r="BL13" i="8" s="1"/>
  <c r="AB202" i="8"/>
  <c r="P38" i="8"/>
  <c r="AB326" i="8"/>
  <c r="BK326" i="8" s="1"/>
  <c r="BM326" i="8" s="1"/>
  <c r="BN326" i="8" s="1"/>
  <c r="BP326" i="8" s="1"/>
  <c r="P203" i="8"/>
  <c r="AG309" i="8"/>
  <c r="AB24" i="8"/>
  <c r="BK24" i="8" s="1"/>
  <c r="BM24" i="8" s="1"/>
  <c r="BN24" i="8" s="1"/>
  <c r="AG64" i="8"/>
  <c r="AG280" i="8"/>
  <c r="P94" i="8"/>
  <c r="P253" i="8"/>
  <c r="P227" i="8"/>
  <c r="AG263" i="8"/>
  <c r="AB22" i="8"/>
  <c r="BK22" i="8" s="1"/>
  <c r="P231" i="8"/>
  <c r="AB307" i="8"/>
  <c r="AB104" i="8"/>
  <c r="AG99" i="8"/>
  <c r="P23" i="8"/>
  <c r="P202" i="8"/>
  <c r="P191" i="8"/>
  <c r="P99" i="8"/>
  <c r="P199" i="8"/>
  <c r="AG245" i="8"/>
  <c r="BL245" i="8" s="1"/>
  <c r="AG240" i="8"/>
  <c r="AB133" i="8"/>
  <c r="AB238" i="8"/>
  <c r="AG49" i="8"/>
  <c r="BL49" i="8" s="1"/>
  <c r="AH49" i="8"/>
  <c r="AB209" i="8"/>
  <c r="AB191" i="8"/>
  <c r="BK191" i="8" s="1"/>
  <c r="BM191" i="8" s="1"/>
  <c r="BN191" i="8" s="1"/>
  <c r="BP191" i="8" s="1"/>
  <c r="AB131" i="8"/>
  <c r="AG164" i="8"/>
  <c r="BL164" i="8" s="1"/>
  <c r="AG267" i="8"/>
  <c r="AB174" i="8"/>
  <c r="P57" i="8"/>
  <c r="P226" i="8"/>
  <c r="P216" i="8"/>
  <c r="P294" i="8"/>
  <c r="P102" i="8"/>
  <c r="AG318" i="8"/>
  <c r="AG55" i="8"/>
  <c r="BL55" i="8" s="1"/>
  <c r="AH55" i="8"/>
  <c r="P100" i="8"/>
  <c r="AG72" i="8"/>
  <c r="P255" i="8"/>
  <c r="AG184" i="8"/>
  <c r="P149" i="8"/>
  <c r="AG236" i="8"/>
  <c r="P148" i="8"/>
  <c r="AB310" i="8"/>
  <c r="P190" i="8"/>
  <c r="AG131" i="8"/>
  <c r="AB270" i="8"/>
  <c r="AG23" i="8"/>
  <c r="BL23" i="8" s="1"/>
  <c r="AB189" i="8"/>
  <c r="AG151" i="8"/>
  <c r="P106" i="8"/>
  <c r="P41" i="8"/>
  <c r="AB280" i="8"/>
  <c r="P164" i="8"/>
  <c r="P64" i="8"/>
  <c r="P40" i="8"/>
  <c r="AG177" i="8"/>
  <c r="AB72" i="8"/>
  <c r="AG254" i="8"/>
  <c r="P326" i="8"/>
  <c r="AB309" i="8"/>
  <c r="P262" i="8"/>
  <c r="P298" i="8"/>
  <c r="AG264" i="8"/>
  <c r="AG79" i="8"/>
  <c r="AB214" i="8"/>
  <c r="AB235" i="8"/>
  <c r="AG237" i="8"/>
  <c r="AB152" i="8"/>
  <c r="P55" i="8"/>
  <c r="P14" i="8"/>
  <c r="AB48" i="8"/>
  <c r="BK48" i="8" s="1"/>
  <c r="BM48" i="8" s="1"/>
  <c r="BN48" i="8" s="1"/>
  <c r="BQ48" i="8" s="1"/>
  <c r="AB216" i="8"/>
  <c r="AG110" i="8"/>
  <c r="BL110" i="8" s="1"/>
  <c r="AG323" i="8"/>
  <c r="AB38" i="8"/>
  <c r="BK38" i="8" s="1"/>
  <c r="BM38" i="8" s="1"/>
  <c r="BN38" i="8" s="1"/>
  <c r="BQ38" i="8" s="1"/>
  <c r="P285" i="8"/>
  <c r="P243" i="8"/>
  <c r="P319" i="8"/>
  <c r="AB135" i="8"/>
  <c r="P26" i="8"/>
  <c r="BM23" i="8" l="1"/>
  <c r="BN23" i="8" s="1"/>
  <c r="BM22" i="8"/>
  <c r="BN22" i="8" s="1"/>
  <c r="BM110" i="8"/>
  <c r="BN110" i="8" s="1"/>
  <c r="BP110" i="8" s="1"/>
  <c r="BM245" i="8"/>
  <c r="BN245" i="8" s="1"/>
  <c r="BP245" i="8" s="1"/>
  <c r="BM42" i="8"/>
  <c r="BN42" i="8" s="1"/>
  <c r="BQ42" i="8" s="1"/>
  <c r="BM47" i="8"/>
  <c r="BN47" i="8" s="1"/>
  <c r="BQ47" i="8" s="1"/>
  <c r="BM16" i="8"/>
  <c r="BN16" i="8" s="1"/>
  <c r="BM53" i="8"/>
  <c r="BN53" i="8" s="1"/>
  <c r="BQ53" i="8" s="1"/>
  <c r="BM50" i="8"/>
  <c r="BN50" i="8" s="1"/>
  <c r="BQ50" i="8" s="1"/>
  <c r="BM51" i="8"/>
  <c r="BN51" i="8" s="1"/>
  <c r="BQ51" i="8" s="1"/>
  <c r="BM41" i="8"/>
  <c r="BN41" i="8" s="1"/>
  <c r="BQ41" i="8" s="1"/>
  <c r="BM49" i="8"/>
  <c r="BN49" i="8" s="1"/>
  <c r="BQ49" i="8" s="1"/>
  <c r="BM43" i="8"/>
  <c r="BN43" i="8" s="1"/>
  <c r="BQ43" i="8" s="1"/>
  <c r="BM55" i="8"/>
  <c r="BN55" i="8" s="1"/>
  <c r="BQ55" i="8" s="1"/>
  <c r="BM30" i="8"/>
  <c r="BN30" i="8" s="1"/>
  <c r="BM52" i="8"/>
  <c r="BN52" i="8" s="1"/>
  <c r="BQ52" i="8" s="1"/>
  <c r="BM15" i="8"/>
  <c r="BN15" i="8" s="1"/>
  <c r="BM13" i="8"/>
  <c r="BN13" i="8" s="1"/>
  <c r="BM164" i="8"/>
  <c r="BN164" i="8" s="1"/>
  <c r="BP164" i="8" s="1"/>
  <c r="BM54" i="8"/>
  <c r="BN54" i="8" s="1"/>
  <c r="BQ54" i="8" s="1"/>
  <c r="BM299" i="8"/>
  <c r="BN299" i="8" s="1"/>
  <c r="BP299" i="8" s="1"/>
  <c r="BM218" i="8"/>
  <c r="BN218" i="8" s="1"/>
  <c r="BP21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Lightfoot</author>
  </authors>
  <commentList>
    <comment ref="AA10" authorId="0" shapeId="0" xr:uid="{5365C020-D8E5-4B3F-81F6-97736AB2655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1" authorId="0" shapeId="0" xr:uid="{FA14CE42-F7E3-4A8A-8D8B-99D6AC3584CB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1" authorId="0" shapeId="0" xr:uid="{E1628DF8-E26F-4E92-84F4-4C09B4347A42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36" authorId="0" shapeId="0" xr:uid="{9A638530-0F6C-4ECF-96C9-81EC62143DDB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37" authorId="0" shapeId="0" xr:uid="{06D04448-21CC-45A7-BD9E-89561B2C5541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37" authorId="0" shapeId="0" xr:uid="{24F31D5C-22DC-449B-A97F-C631C7EE2914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62" authorId="0" shapeId="0" xr:uid="{B9F0D0D0-A3B1-4219-BD76-7F9159AD1741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63" authorId="0" shapeId="0" xr:uid="{3EEC3928-8255-4AE7-8AD9-65092D640BE1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63" authorId="0" shapeId="0" xr:uid="{76EEBBCC-A7EA-4A82-A578-5F6CACF58C45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89" authorId="0" shapeId="0" xr:uid="{4E11AD0F-69B8-4241-8587-1DB01A905CE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90" authorId="0" shapeId="0" xr:uid="{A9D0028F-FB9B-4871-A8AC-2A9F13502230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90" authorId="0" shapeId="0" xr:uid="{DE390162-587D-438E-B116-18DCF560FF8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116" authorId="0" shapeId="0" xr:uid="{944E7C61-863E-4693-8322-166080F4E62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17" authorId="0" shapeId="0" xr:uid="{E4DF47AE-96DB-4C22-BE4C-9D5E8A592230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17" authorId="0" shapeId="0" xr:uid="{EDAE8613-D742-478D-9B97-D70E9697FF5B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143" authorId="0" shapeId="0" xr:uid="{E26DED28-F9C0-42E4-8725-13D56CDDDF45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44" authorId="0" shapeId="0" xr:uid="{15759F50-CCDA-4619-BBCC-3D6CF87086F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44" authorId="0" shapeId="0" xr:uid="{5DA1F6C2-5784-4BD7-AB4C-CFACB4965744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170" authorId="0" shapeId="0" xr:uid="{D1F281C2-CAB9-48FF-BA21-BD3E99E087AA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71" authorId="0" shapeId="0" xr:uid="{945147E8-267D-4135-80A6-4769D9BE0B31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71" authorId="0" shapeId="0" xr:uid="{1495830F-E342-4519-8A13-DFC8BE52916F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197" authorId="0" shapeId="0" xr:uid="{68EFAF98-F86D-42F2-916C-0FCC8630A272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98" authorId="0" shapeId="0" xr:uid="{9906233E-5E1B-4094-A5B7-60FF1B4A5AED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98" authorId="0" shapeId="0" xr:uid="{EF6B880A-4000-4885-B8C6-DEB05BD6A209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224" authorId="0" shapeId="0" xr:uid="{5CE2257A-B252-4F61-B57C-0A7E16391DFF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225" authorId="0" shapeId="0" xr:uid="{5DB19648-99D5-497E-A186-35BCB7515505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225" authorId="0" shapeId="0" xr:uid="{1DF146DC-2B3C-4806-842D-D7381B5F20F8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251" authorId="0" shapeId="0" xr:uid="{4A40EDD6-8023-4937-87A3-57E4D3B5A3CA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252" authorId="0" shapeId="0" xr:uid="{D3C3613C-2C23-4C7C-B198-6CE8AF3EB628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252" authorId="0" shapeId="0" xr:uid="{F7A6062A-E61A-4441-9190-3228DFAAE238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278" authorId="0" shapeId="0" xr:uid="{C41859AF-A61C-4AC9-94CC-DEA48F206C8B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279" authorId="0" shapeId="0" xr:uid="{E190DBDA-B8AE-4E01-91C5-29B43559AC77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279" authorId="0" shapeId="0" xr:uid="{8FFF7F54-9C6B-4374-9D8B-71CE83039A92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305" authorId="0" shapeId="0" xr:uid="{E352315F-646A-4702-9C53-86BEDD660225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306" authorId="0" shapeId="0" xr:uid="{2E55202D-AE0F-4FBF-A1CC-91E00251C348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306" authorId="0" shapeId="0" xr:uid="{72EFADD3-B1AC-4692-9237-63F50FC1BD14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<sst xmlns="http://schemas.openxmlformats.org/spreadsheetml/2006/main" count="4223" uniqueCount="323">
  <si>
    <t>Local</t>
  </si>
  <si>
    <t>Elev'n</t>
  </si>
  <si>
    <t>Pressure</t>
  </si>
  <si>
    <t>City</t>
  </si>
  <si>
    <t>Latitude</t>
  </si>
  <si>
    <t>Longitude</t>
  </si>
  <si>
    <t>Date</t>
  </si>
  <si>
    <t>Time</t>
  </si>
  <si>
    <t>Pascals</t>
  </si>
  <si>
    <t>Bar</t>
  </si>
  <si>
    <t>Code</t>
  </si>
  <si>
    <t>kg/kg</t>
  </si>
  <si>
    <t>Pond Inlet, Canada</t>
  </si>
  <si>
    <t>72o 42' N</t>
  </si>
  <si>
    <t>77o 58' W</t>
  </si>
  <si>
    <t>W</t>
  </si>
  <si>
    <t>Above Arctic Circle</t>
  </si>
  <si>
    <t>Tiksi, Russia</t>
  </si>
  <si>
    <t>71o 38'N</t>
  </si>
  <si>
    <t>128o 51' E</t>
  </si>
  <si>
    <t>Kirkenes, Norway</t>
  </si>
  <si>
    <t>69o 40' N</t>
  </si>
  <si>
    <t>30o 03' E</t>
  </si>
  <si>
    <t>Inuvik, Canada</t>
  </si>
  <si>
    <t>68o 22' N</t>
  </si>
  <si>
    <t>133o 43' W</t>
  </si>
  <si>
    <t>Karamay, China</t>
  </si>
  <si>
    <t>45o 35' N</t>
  </si>
  <si>
    <t>84o 53' E</t>
  </si>
  <si>
    <t>Portland, Oregon, USA</t>
  </si>
  <si>
    <t>45o 31' N</t>
  </si>
  <si>
    <t>122o 40' W</t>
  </si>
  <si>
    <t>Mid-latitudes North</t>
  </si>
  <si>
    <t>Milan, Italy</t>
  </si>
  <si>
    <t>45o 28' N</t>
  </si>
  <si>
    <t>9o 11' E</t>
  </si>
  <si>
    <t>Harbin, China</t>
  </si>
  <si>
    <t>45o 53' N</t>
  </si>
  <si>
    <t>126o 15' E</t>
  </si>
  <si>
    <t>Montreal, Canada</t>
  </si>
  <si>
    <t>45o 30' N</t>
  </si>
  <si>
    <t>73o 34' W</t>
  </si>
  <si>
    <t>Minneapolis, USA</t>
  </si>
  <si>
    <t>45o 59' N</t>
  </si>
  <si>
    <t>93o 16 W</t>
  </si>
  <si>
    <t>Libreville, Gabon</t>
  </si>
  <si>
    <t>0o 25' N</t>
  </si>
  <si>
    <t>9o 28' E</t>
  </si>
  <si>
    <t>Equator</t>
  </si>
  <si>
    <t>Samarinda, Borneo</t>
  </si>
  <si>
    <t>0o 30'S</t>
  </si>
  <si>
    <t>117o 08' E</t>
  </si>
  <si>
    <t>Santiago, Chile</t>
  </si>
  <si>
    <t>33o 27'S</t>
  </si>
  <si>
    <t>70o 40' W</t>
  </si>
  <si>
    <t>Port Elizabeth, South Africa</t>
  </si>
  <si>
    <t>33o 58' S</t>
  </si>
  <si>
    <t>25o 36' E</t>
  </si>
  <si>
    <t>Mid-latitudes South</t>
  </si>
  <si>
    <t>Hobart, Australia</t>
  </si>
  <si>
    <t>42o 53'S</t>
  </si>
  <si>
    <t>147o 20' E</t>
  </si>
  <si>
    <t>Dunedin, New Zealand</t>
  </si>
  <si>
    <t>45o 53' S</t>
  </si>
  <si>
    <t>170o 30' E</t>
  </si>
  <si>
    <t>Rio Grande, Tierra del Fuego</t>
  </si>
  <si>
    <t>53o 47' S</t>
  </si>
  <si>
    <t>67o 42' W</t>
  </si>
  <si>
    <t>Below Antarctic Circle</t>
  </si>
  <si>
    <t>McMurdo Station, Antarctica</t>
  </si>
  <si>
    <t>77o 50' S</t>
  </si>
  <si>
    <t>166o 41' E</t>
  </si>
  <si>
    <t>Water</t>
  </si>
  <si>
    <t>Excel spreadsheet prepared by H. D. Lightfoot</t>
  </si>
  <si>
    <t>Current weather</t>
  </si>
  <si>
    <t>Mostly cloudy</t>
  </si>
  <si>
    <t>Eastern Time.</t>
  </si>
  <si>
    <t>Taoudenni. Mali</t>
  </si>
  <si>
    <t>22o 41'N</t>
  </si>
  <si>
    <t>3o 58' W</t>
  </si>
  <si>
    <t>Rain</t>
  </si>
  <si>
    <t>grams/kg</t>
  </si>
  <si>
    <t>dry air</t>
  </si>
  <si>
    <t>2o 03' N</t>
  </si>
  <si>
    <t>45o 19E</t>
  </si>
  <si>
    <t>Cloudy</t>
  </si>
  <si>
    <t>Partly sunny</t>
  </si>
  <si>
    <t>Partly cloudy</t>
  </si>
  <si>
    <t>Clear</t>
  </si>
  <si>
    <t>Clouds and sun</t>
  </si>
  <si>
    <t>Sunny</t>
  </si>
  <si>
    <t>Thunderstorm</t>
  </si>
  <si>
    <t>Snow</t>
  </si>
  <si>
    <t>Light rain</t>
  </si>
  <si>
    <t>Somr clouds</t>
  </si>
  <si>
    <t>Some clouds</t>
  </si>
  <si>
    <t>April 2021</t>
  </si>
  <si>
    <t>March 2021</t>
  </si>
  <si>
    <t>Temp</t>
  </si>
  <si>
    <t>RH</t>
  </si>
  <si>
    <t>Mostly sunny</t>
  </si>
  <si>
    <t>Snow shower</t>
  </si>
  <si>
    <t>Mostly clear</t>
  </si>
  <si>
    <t>May 21, 2021</t>
  </si>
  <si>
    <t>A shower</t>
  </si>
  <si>
    <t>Thundershower</t>
  </si>
  <si>
    <t>June 21 2021</t>
  </si>
  <si>
    <t>Fog</t>
  </si>
  <si>
    <t>Couds and sun</t>
  </si>
  <si>
    <t>July 21 2021</t>
  </si>
  <si>
    <t>Overcast</t>
  </si>
  <si>
    <t>Jult 22</t>
  </si>
  <si>
    <t>Light rain shower</t>
  </si>
  <si>
    <t>Jan, Feb, Mar</t>
  </si>
  <si>
    <t>April. May, June</t>
  </si>
  <si>
    <t>Oct, Nov, Dec</t>
  </si>
  <si>
    <t>July, August, Sept</t>
  </si>
  <si>
    <t>Black</t>
  </si>
  <si>
    <t>Red</t>
  </si>
  <si>
    <t>August 21 2021</t>
  </si>
  <si>
    <t>clouds and sun</t>
  </si>
  <si>
    <t xml:space="preserve"> shower</t>
  </si>
  <si>
    <t>Parly cloudy</t>
  </si>
  <si>
    <t>Asug 22</t>
  </si>
  <si>
    <t>Most;y clear</t>
  </si>
  <si>
    <t>Lightf fog</t>
  </si>
  <si>
    <t>Mist</t>
  </si>
  <si>
    <t>Mostly  cloudy</t>
  </si>
  <si>
    <t>Hazy clouds</t>
  </si>
  <si>
    <t>November 2021</t>
  </si>
  <si>
    <t>Partly  sunny</t>
  </si>
  <si>
    <t>Hazy sunshine</t>
  </si>
  <si>
    <t>Winter solstice Dec 21, 2021 at 10:58 am</t>
  </si>
  <si>
    <t>Light snow</t>
  </si>
  <si>
    <t>Humidair</t>
  </si>
  <si>
    <t>Triangle</t>
  </si>
  <si>
    <t>Circle</t>
  </si>
  <si>
    <t>AccuWeather measurements are in orange.</t>
  </si>
  <si>
    <t>Plot code</t>
  </si>
  <si>
    <t>All times start at Montreal time</t>
  </si>
  <si>
    <t>Calculation of Dew point</t>
  </si>
  <si>
    <t>enthalpy</t>
  </si>
  <si>
    <t>Loc'n</t>
  </si>
  <si>
    <t>moist air</t>
  </si>
  <si>
    <t>Tdp</t>
  </si>
  <si>
    <t>Hm</t>
  </si>
  <si>
    <t>Ha</t>
  </si>
  <si>
    <t>Volume</t>
  </si>
  <si>
    <t>Cubic m/</t>
  </si>
  <si>
    <t>kg dry air</t>
  </si>
  <si>
    <t>Va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</si>
  <si>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</si>
  <si>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</si>
  <si>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</si>
  <si>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</si>
  <si>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</si>
  <si>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</si>
  <si>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</si>
  <si>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</si>
  <si>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</si>
  <si>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</si>
  <si>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</si>
  <si>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</si>
  <si>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meters</t>
  </si>
  <si>
    <t>`</t>
  </si>
  <si>
    <t>The 21st of the month is in Montreal, Quebec, Canada at Montreal time</t>
  </si>
  <si>
    <t>Calculation of enthalpy</t>
  </si>
  <si>
    <t>Sept 21 2021</t>
  </si>
  <si>
    <t>Oct 21 2021</t>
  </si>
  <si>
    <t>Dec 21 2021</t>
  </si>
  <si>
    <t>Jan 21 2021</t>
  </si>
  <si>
    <t>Feb 21 2021</t>
  </si>
  <si>
    <t>Mogadishu, Somalia</t>
  </si>
  <si>
    <r>
      <t>Tans P and Thoning K, How we measure background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levels on Mauna Loa, NOAA Global Monitoring Laboratory, Boulder, Colorado, September 2020. Available at: </t>
    </r>
  </si>
  <si>
    <t>https://gml.noaa.gov/ccgg/about/co2_measurements.html</t>
  </si>
  <si>
    <t>Moles to grams</t>
  </si>
  <si>
    <t>https://www.convertunits.com/from/moles%20CO2/to/grams</t>
  </si>
  <si>
    <t>grams</t>
  </si>
  <si>
    <t>ppm</t>
  </si>
  <si>
    <r>
      <t>The 418 molecules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million moleciules of dry air is the mole fraction =</t>
    </r>
  </si>
  <si>
    <t>418/1000000</t>
  </si>
  <si>
    <r>
      <t>The specific heat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=</t>
    </r>
  </si>
  <si>
    <r>
      <t>Grams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at </t>
    </r>
  </si>
  <si>
    <t>Daily carbon dioxide measurements:</t>
  </si>
  <si>
    <t>https://www.esrl.noaa.gov/gmd/ccgg/trends/monthly.html</t>
  </si>
  <si>
    <r>
      <t>is the specific heat of CO</t>
    </r>
    <r>
      <rPr>
        <vertAlign val="subscript"/>
        <sz val="11"/>
        <color rgb="FF0E101A"/>
        <rFont val="Calibri"/>
        <family val="2"/>
        <scheme val="minor"/>
      </rPr>
      <t>2</t>
    </r>
    <r>
      <rPr>
        <sz val="11"/>
        <color rgb="FF0E101A"/>
        <rFont val="Calibri"/>
        <family val="2"/>
        <scheme val="minor"/>
      </rPr>
      <t xml:space="preserve"> at constant pressure at 15</t>
    </r>
    <r>
      <rPr>
        <vertAlign val="superscript"/>
        <sz val="11"/>
        <color rgb="FF0E101A"/>
        <rFont val="Calibri"/>
        <family val="2"/>
        <scheme val="minor"/>
      </rPr>
      <t>o</t>
    </r>
    <r>
      <rPr>
        <sz val="11"/>
        <color rgb="FF0E101A"/>
        <rFont val="Calibri"/>
        <family val="2"/>
        <scheme val="minor"/>
      </rPr>
      <t>C</t>
    </r>
  </si>
  <si>
    <t>ΔT</t>
  </si>
  <si>
    <t>McMurdo</t>
  </si>
  <si>
    <t>Montreal</t>
  </si>
  <si>
    <t>Mogadishu</t>
  </si>
  <si>
    <t>Taoudenni</t>
  </si>
  <si>
    <t>At 270 ppm</t>
  </si>
  <si>
    <t>Specific</t>
  </si>
  <si>
    <t>heat</t>
  </si>
  <si>
    <t xml:space="preserve">Equivalent </t>
  </si>
  <si>
    <t xml:space="preserve">temperature </t>
  </si>
  <si>
    <r>
      <t xml:space="preserve">increase, 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</t>
    </r>
  </si>
  <si>
    <t>At 418 ppm</t>
  </si>
  <si>
    <r>
      <t>Difference in weight of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between 240 and 418 at McMurdo =</t>
    </r>
  </si>
  <si>
    <r>
      <t>Maximum increase in temperature by CO</t>
    </r>
    <r>
      <rPr>
        <vertAlign val="subscript"/>
        <sz val="11"/>
        <color theme="1"/>
        <rFont val="Calibri"/>
        <family val="2"/>
        <scheme val="minor"/>
      </rPr>
      <t>2</t>
    </r>
  </si>
  <si>
    <t>grams  =</t>
  </si>
  <si>
    <t>kg</t>
  </si>
  <si>
    <t>kJ/kg K</t>
  </si>
  <si>
    <t>kJ</t>
  </si>
  <si>
    <t>Kilograms vs grams-rows 328 to 364</t>
  </si>
  <si>
    <t>At 800 PPM</t>
  </si>
  <si>
    <t>At 4000 PPM</t>
  </si>
  <si>
    <t>Joules</t>
  </si>
  <si>
    <t>grams at Taoudenni</t>
  </si>
  <si>
    <t>degrees</t>
  </si>
  <si>
    <t>J per kilogramK</t>
  </si>
  <si>
    <t>Joules—(0.0137 x 0.833)</t>
  </si>
  <si>
    <t>(0.011412 x 76)</t>
  </si>
  <si>
    <t>Joules per gram K</t>
  </si>
  <si>
    <t>Check calculation by grams</t>
  </si>
  <si>
    <t>The same result</t>
  </si>
  <si>
    <t>Supplementary+data+plus(1) from JBAS.xlsx</t>
  </si>
  <si>
    <t>Scripps CO2 Mauna Loa record</t>
  </si>
  <si>
    <t xml:space="preserve">April </t>
  </si>
  <si>
    <t xml:space="preserve">May </t>
  </si>
  <si>
    <t xml:space="preserve">June </t>
  </si>
  <si>
    <t>July</t>
  </si>
  <si>
    <t>September</t>
  </si>
  <si>
    <t>October</t>
  </si>
  <si>
    <t>November</t>
  </si>
  <si>
    <t>December</t>
  </si>
  <si>
    <t>January 2022</t>
  </si>
  <si>
    <t>February 2022</t>
  </si>
  <si>
    <t>monthly</t>
  </si>
  <si>
    <t>monthly_in_situ_co2_mlo.csv</t>
  </si>
  <si>
    <t>CO2</t>
  </si>
  <si>
    <t>Convert moles CO2 to gram. Available at:</t>
  </si>
  <si>
    <t>grams CO2</t>
  </si>
  <si>
    <t>Ratio</t>
  </si>
  <si>
    <t>Molecules</t>
  </si>
  <si>
    <t>Grams</t>
  </si>
  <si>
    <t>Kilograms</t>
  </si>
  <si>
    <r>
      <t xml:space="preserve">Enthalpy and increase in tempeature, 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</si>
  <si>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August</t>
  </si>
  <si>
    <t>ppm =</t>
  </si>
  <si>
    <t>Converrt to moles per kg of dry air, multiply by =</t>
  </si>
  <si>
    <t xml:space="preserve"> moles multiply by </t>
  </si>
  <si>
    <t>=</t>
  </si>
  <si>
    <t xml:space="preserve">McMurdo </t>
  </si>
  <si>
    <t>time</t>
  </si>
  <si>
    <r>
      <t>T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</si>
  <si>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RH, %</t>
  </si>
  <si>
    <t>Humidity</t>
  </si>
  <si>
    <t>grams per</t>
  </si>
  <si>
    <t>ratio</t>
  </si>
  <si>
    <t>Enthalpy</t>
  </si>
  <si>
    <t>kJ/kg</t>
  </si>
  <si>
    <t>volume</t>
  </si>
  <si>
    <t>cubic</t>
  </si>
  <si>
    <t>m/kg</t>
  </si>
  <si>
    <t>molecules</t>
  </si>
  <si>
    <t>H</t>
  </si>
  <si>
    <t>I</t>
  </si>
  <si>
    <t>G</t>
  </si>
  <si>
    <t>R</t>
  </si>
  <si>
    <t>AC</t>
  </si>
  <si>
    <t>AL</t>
  </si>
  <si>
    <t>C</t>
  </si>
  <si>
    <t xml:space="preserve">                                                                         </t>
  </si>
  <si>
    <t>grams CO2 per kg of dry air</t>
  </si>
  <si>
    <t>moles per mole of dry air</t>
  </si>
  <si>
    <t>moles per kg of dry air</t>
  </si>
  <si>
    <t>grams CO2 per kg dry air</t>
  </si>
  <si>
    <t>Baseline at</t>
  </si>
  <si>
    <t>Base =</t>
  </si>
  <si>
    <t>Δ CO2</t>
  </si>
  <si>
    <t>Change in</t>
  </si>
  <si>
    <t>content</t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</si>
  <si>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</si>
  <si>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Divide by</t>
  </si>
  <si>
    <t>grams  per</t>
  </si>
  <si>
    <t>kilograms</t>
  </si>
  <si>
    <t>oC</t>
  </si>
  <si>
    <t xml:space="preserve">Excel calculations </t>
  </si>
  <si>
    <r>
      <t>Ratio of CO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</si>
  <si>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per cubic </t>
  </si>
  <si>
    <t>meter for</t>
  </si>
  <si>
    <t>per m3</t>
  </si>
  <si>
    <t>BH</t>
  </si>
  <si>
    <t>Temperature</t>
  </si>
  <si>
    <t>4 stations</t>
  </si>
  <si>
    <r>
      <t>Ratio of CO</t>
    </r>
    <r>
      <rPr>
        <b/>
        <vertAlign val="subscript"/>
        <sz val="18"/>
        <color theme="1"/>
        <rFont val="Calibri"/>
        <family val="2"/>
        <scheme val="minor"/>
      </rPr>
      <t>2</t>
    </r>
  </si>
  <si>
    <r>
      <t>T</t>
    </r>
    <r>
      <rPr>
        <b/>
        <vertAlign val="superscript"/>
        <sz val="18"/>
        <color theme="1"/>
        <rFont val="Calibri"/>
        <family val="2"/>
        <scheme val="minor"/>
      </rPr>
      <t>o</t>
    </r>
    <r>
      <rPr>
        <b/>
        <sz val="18"/>
        <color theme="1"/>
        <rFont val="Calibri"/>
        <family val="2"/>
        <scheme val="minor"/>
      </rPr>
      <t>C</t>
    </r>
  </si>
  <si>
    <t>WV/CO2</t>
  </si>
  <si>
    <t>Number of</t>
  </si>
  <si>
    <t>times WV</t>
  </si>
  <si>
    <t xml:space="preserve">greater </t>
  </si>
  <si>
    <t>than CO2</t>
  </si>
  <si>
    <t>This Excel spreasdsheet was developed with the Humidair psychrometric progerm behind it. If you do not have Humidair, and</t>
  </si>
  <si>
    <r>
      <t xml:space="preserve">any values are changed in columns H, I, M or N, the values in column P will be lost.  The values in the </t>
    </r>
    <r>
      <rPr>
        <sz val="11"/>
        <color rgb="FF00B0F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columns are protected and will not change.</t>
    </r>
  </si>
  <si>
    <t>BK - BL</t>
  </si>
  <si>
    <t>BN*BO</t>
  </si>
  <si>
    <t xml:space="preserve">Moist </t>
  </si>
  <si>
    <t>air</t>
  </si>
  <si>
    <t>Dry</t>
  </si>
  <si>
    <t>Moist air</t>
  </si>
  <si>
    <t>Enthlapy by</t>
  </si>
  <si>
    <t>BM/BK</t>
  </si>
  <si>
    <t>to</t>
  </si>
  <si>
    <t>ΔT McM</t>
  </si>
  <si>
    <t>BP/AZ</t>
  </si>
  <si>
    <t>Times WV</t>
  </si>
  <si>
    <t>June</t>
  </si>
  <si>
    <t xml:space="preserve">File: </t>
  </si>
  <si>
    <t>For "The Sun and the Troposphere control Earths temperature"</t>
  </si>
  <si>
    <t xml:space="preserve"> Dew point</t>
  </si>
  <si>
    <r>
      <rPr>
        <b/>
        <vertAlign val="superscript"/>
        <sz val="11"/>
        <color rgb="FF00B0F0"/>
        <rFont val="Calibri"/>
        <family val="2"/>
        <scheme val="minor"/>
      </rPr>
      <t>o</t>
    </r>
    <r>
      <rPr>
        <b/>
        <sz val="11"/>
        <color rgb="FF00B0F0"/>
        <rFont val="Calibri"/>
        <family val="2"/>
        <scheme val="minor"/>
      </rPr>
      <t>C</t>
    </r>
  </si>
  <si>
    <t>kJ/(kg dry air)</t>
  </si>
  <si>
    <t>kJ(kg dry ait K)</t>
  </si>
  <si>
    <t xml:space="preserve">Dry air </t>
  </si>
  <si>
    <t>Ratio grams</t>
  </si>
  <si>
    <t>WV to</t>
  </si>
  <si>
    <t>Ratio WV</t>
  </si>
  <si>
    <t xml:space="preserve">molecules </t>
  </si>
  <si>
    <t>to CO2</t>
  </si>
  <si>
    <t>Grams CO2</t>
  </si>
  <si>
    <t>per kg dry air</t>
  </si>
  <si>
    <t>Excel calculations for The Sun and the Troposphere control Earths temperature Nov 23 2023.xlsx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</si>
</sst>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0.0"/>
    <numFmt numFmtId="165" formatCode="0.000000"/>
    <numFmt numFmtId="166" formatCode="[$-1009]d\-mmm\-yy;@"/>
    <numFmt numFmtId="167" formatCode="[$-409]d/mmm;@"/>
    <numFmt numFmtId="168" formatCode="h:mm;@"/>
    <numFmt numFmtId="169" formatCode="0.000"/>
    <numFmt numFmtId="170" formatCode="[$-409]mmmm\ d\,\ yyyy;@"/>
    <numFmt numFmtId="171" formatCode="0.000%"/>
    <numFmt numFmtId="172" formatCode="0.0000"/>
    <numFmt numFmtId="173" formatCode="0.000000000"/>
    <numFmt numFmtId="174" formatCode="0.00000000"/>
    <numFmt numFmtId="175" formatCode="0.00000"/>
    <numFmt numFmtId="176" formatCode="_-* #,##0.0000000_-;\-* #,##0.0000000_-;_-* &quot;-&quot;??_-;_-@_-"/>
    <numFmt numFmtId="177" formatCode="0.0000000"/>
    <numFmt numFmtId="178" formatCode="[$-409]mmmm/yy;@"/>
    <numFmt numFmtId="179" formatCode="_-* #,##0.000000_-;\-* #,##0.000000_-;_-* &quot;-&quot;??_-;_-@_-"/>
    <numFmt numFmtId="180" formatCode="0.00000%"/>
    <numFmt numFmtId="181" formatCode="0.00000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E101A"/>
      <name val="Calibri"/>
      <family val="2"/>
    </font>
    <font>
      <sz val="10"/>
      <name val="Calibri"/>
      <family val="2"/>
    </font>
    <font>
      <sz val="11"/>
      <color rgb="FF0E101A"/>
      <name val="Calibri"/>
      <family val="2"/>
      <scheme val="minor"/>
    </font>
    <font>
      <vertAlign val="subscript"/>
      <sz val="11"/>
      <color rgb="FF0E101A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000000"/>
      <name val="Calibri"/>
      <family val="2"/>
      <scheme val="minor"/>
    </font>
    <font>
      <vertAlign val="superscript"/>
      <sz val="11"/>
      <color rgb="FF0E101A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vertAlign val="superscript"/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18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4" xfId="0" applyFont="1" applyBorder="1"/>
    <xf numFmtId="0" fontId="0" fillId="0" borderId="8" xfId="0" applyBorder="1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1" fillId="3" borderId="0" xfId="0" applyFont="1" applyFill="1"/>
    <xf numFmtId="0" fontId="3" fillId="0" borderId="0" xfId="0" applyFont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16" fontId="6" fillId="0" borderId="0" xfId="0" applyNumberFormat="1" applyFont="1"/>
    <xf numFmtId="169" fontId="0" fillId="0" borderId="0" xfId="0" applyNumberFormat="1"/>
    <xf numFmtId="0" fontId="0" fillId="0" borderId="8" xfId="0" applyBorder="1"/>
    <xf numFmtId="167" fontId="0" fillId="2" borderId="2" xfId="0" applyNumberFormat="1" applyFill="1" applyBorder="1" applyAlignment="1">
      <alignment horizontal="center"/>
    </xf>
    <xf numFmtId="168" fontId="0" fillId="2" borderId="2" xfId="0" applyNumberFormat="1" applyFill="1" applyBorder="1" applyAlignment="1">
      <alignment horizontal="center"/>
    </xf>
    <xf numFmtId="16" fontId="0" fillId="2" borderId="2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7" fontId="5" fillId="0" borderId="0" xfId="0" quotePrefix="1" applyNumberFormat="1" applyFont="1"/>
    <xf numFmtId="0" fontId="5" fillId="0" borderId="0" xfId="0" quotePrefix="1" applyFont="1"/>
    <xf numFmtId="15" fontId="5" fillId="0" borderId="0" xfId="0" quotePrefix="1" applyNumberFormat="1" applyFont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7" fontId="0" fillId="0" borderId="15" xfId="0" applyNumberFormat="1" applyBorder="1"/>
    <xf numFmtId="170" fontId="5" fillId="0" borderId="0" xfId="0" quotePrefix="1" applyNumberFormat="1" applyFont="1" applyAlignment="1">
      <alignment horizontal="left"/>
    </xf>
    <xf numFmtId="1" fontId="0" fillId="2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69" fontId="0" fillId="0" borderId="2" xfId="0" applyNumberFormat="1" applyBorder="1"/>
    <xf numFmtId="169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0" borderId="11" xfId="0" applyFont="1" applyBorder="1"/>
    <xf numFmtId="0" fontId="10" fillId="0" borderId="0" xfId="0" applyFont="1" applyAlignment="1">
      <alignment horizontal="center"/>
    </xf>
    <xf numFmtId="169" fontId="10" fillId="0" borderId="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quotePrefix="1" applyFont="1" applyAlignment="1">
      <alignment horizontal="center"/>
    </xf>
    <xf numFmtId="17" fontId="5" fillId="0" borderId="0" xfId="0" quotePrefix="1" applyNumberFormat="1" applyFont="1" applyAlignment="1">
      <alignment horizontal="center"/>
    </xf>
    <xf numFmtId="15" fontId="5" fillId="0" borderId="0" xfId="0" quotePrefix="1" applyNumberFormat="1" applyFont="1" applyAlignment="1">
      <alignment horizontal="center"/>
    </xf>
    <xf numFmtId="170" fontId="5" fillId="0" borderId="0" xfId="0" quotePrefix="1" applyNumberFormat="1" applyFont="1" applyAlignment="1">
      <alignment horizontal="center"/>
    </xf>
    <xf numFmtId="0" fontId="0" fillId="4" borderId="0" xfId="0" applyFill="1"/>
    <xf numFmtId="0" fontId="0" fillId="4" borderId="2" xfId="0" applyFill="1" applyBorder="1"/>
    <xf numFmtId="49" fontId="0" fillId="0" borderId="0" xfId="0" applyNumberFormat="1"/>
    <xf numFmtId="0" fontId="10" fillId="0" borderId="10" xfId="0" applyFont="1" applyBorder="1" applyAlignment="1">
      <alignment horizontal="center"/>
    </xf>
    <xf numFmtId="0" fontId="0" fillId="0" borderId="11" xfId="0" applyBorder="1"/>
    <xf numFmtId="0" fontId="10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7" xfId="0" applyFont="1" applyBorder="1"/>
    <xf numFmtId="0" fontId="10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0" fillId="0" borderId="0" xfId="0" applyFont="1"/>
    <xf numFmtId="169" fontId="0" fillId="0" borderId="5" xfId="0" applyNumberForma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10" xfId="0" applyFont="1" applyBorder="1"/>
    <xf numFmtId="0" fontId="0" fillId="0" borderId="4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9" fontId="0" fillId="0" borderId="0" xfId="1" applyFont="1"/>
    <xf numFmtId="0" fontId="13" fillId="0" borderId="0" xfId="2"/>
    <xf numFmtId="171" fontId="0" fillId="0" borderId="0" xfId="1" applyNumberFormat="1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172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2" fontId="3" fillId="0" borderId="0" xfId="0" applyNumberFormat="1" applyFont="1"/>
    <xf numFmtId="172" fontId="3" fillId="0" borderId="0" xfId="0" applyNumberFormat="1" applyFont="1"/>
    <xf numFmtId="169" fontId="3" fillId="0" borderId="0" xfId="0" applyNumberFormat="1" applyFont="1"/>
    <xf numFmtId="164" fontId="3" fillId="0" borderId="0" xfId="0" applyNumberFormat="1" applyFont="1"/>
    <xf numFmtId="10" fontId="3" fillId="0" borderId="0" xfId="1" applyNumberFormat="1" applyFont="1"/>
    <xf numFmtId="10" fontId="0" fillId="0" borderId="0" xfId="1" applyNumberFormat="1" applyFont="1"/>
    <xf numFmtId="171" fontId="6" fillId="0" borderId="0" xfId="1" applyNumberFormat="1" applyFont="1"/>
    <xf numFmtId="171" fontId="3" fillId="0" borderId="0" xfId="1" applyNumberFormat="1" applyFont="1"/>
    <xf numFmtId="174" fontId="0" fillId="0" borderId="0" xfId="0" applyNumberFormat="1"/>
    <xf numFmtId="0" fontId="18" fillId="0" borderId="0" xfId="2" applyFont="1" applyBorder="1"/>
    <xf numFmtId="10" fontId="19" fillId="0" borderId="0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75" fontId="0" fillId="0" borderId="0" xfId="0" applyNumberFormat="1"/>
    <xf numFmtId="172" fontId="3" fillId="0" borderId="0" xfId="0" applyNumberFormat="1" applyFont="1" applyAlignment="1">
      <alignment horizontal="center"/>
    </xf>
    <xf numFmtId="169" fontId="6" fillId="0" borderId="0" xfId="0" applyNumberFormat="1" applyFont="1"/>
    <xf numFmtId="172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9" fontId="24" fillId="0" borderId="0" xfId="0" applyNumberFormat="1" applyFont="1"/>
    <xf numFmtId="0" fontId="24" fillId="0" borderId="0" xfId="0" applyFont="1"/>
    <xf numFmtId="0" fontId="0" fillId="5" borderId="2" xfId="0" applyFill="1" applyBorder="1" applyAlignment="1">
      <alignment horizontal="center"/>
    </xf>
    <xf numFmtId="0" fontId="0" fillId="5" borderId="8" xfId="0" applyFill="1" applyBorder="1"/>
    <xf numFmtId="0" fontId="0" fillId="5" borderId="3" xfId="0" applyFill="1" applyBorder="1"/>
    <xf numFmtId="0" fontId="0" fillId="5" borderId="4" xfId="0" applyFill="1" applyBorder="1"/>
    <xf numFmtId="176" fontId="0" fillId="0" borderId="0" xfId="3" applyNumberFormat="1" applyFont="1"/>
    <xf numFmtId="2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5" borderId="2" xfId="0" applyNumberFormat="1" applyFont="1" applyFill="1" applyBorder="1" applyAlignment="1">
      <alignment horizontal="center"/>
    </xf>
    <xf numFmtId="173" fontId="0" fillId="0" borderId="0" xfId="0" applyNumberFormat="1"/>
    <xf numFmtId="0" fontId="20" fillId="0" borderId="0" xfId="0" applyFont="1" applyAlignment="1">
      <alignment horizontal="center" vertical="center" wrapText="1"/>
    </xf>
    <xf numFmtId="9" fontId="6" fillId="0" borderId="0" xfId="1" applyFont="1" applyAlignment="1">
      <alignment horizontal="left"/>
    </xf>
    <xf numFmtId="9" fontId="6" fillId="0" borderId="0" xfId="1" applyFont="1"/>
    <xf numFmtId="10" fontId="6" fillId="0" borderId="0" xfId="1" applyNumberFormat="1" applyFont="1"/>
    <xf numFmtId="0" fontId="0" fillId="6" borderId="0" xfId="0" applyFill="1"/>
    <xf numFmtId="0" fontId="0" fillId="0" borderId="0" xfId="0" applyAlignment="1">
      <alignment horizontal="left"/>
    </xf>
    <xf numFmtId="0" fontId="0" fillId="0" borderId="2" xfId="0" quotePrefix="1" applyBorder="1"/>
    <xf numFmtId="17" fontId="0" fillId="0" borderId="2" xfId="0" quotePrefix="1" applyNumberFormat="1" applyBorder="1"/>
    <xf numFmtId="0" fontId="26" fillId="0" borderId="0" xfId="0" applyFont="1"/>
    <xf numFmtId="164" fontId="10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13" fillId="0" borderId="2" xfId="2" applyBorder="1" applyAlignment="1">
      <alignment horizontal="center" vertical="center" wrapText="1"/>
    </xf>
    <xf numFmtId="0" fontId="24" fillId="0" borderId="2" xfId="0" applyFont="1" applyBorder="1"/>
    <xf numFmtId="177" fontId="6" fillId="0" borderId="0" xfId="0" applyNumberFormat="1" applyFont="1" applyAlignment="1">
      <alignment horizontal="center"/>
    </xf>
    <xf numFmtId="174" fontId="6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0" xfId="0" applyFont="1"/>
    <xf numFmtId="174" fontId="10" fillId="0" borderId="0" xfId="0" applyNumberFormat="1" applyFont="1"/>
    <xf numFmtId="178" fontId="0" fillId="0" borderId="0" xfId="0" applyNumberFormat="1" applyAlignment="1">
      <alignment horizontal="center"/>
    </xf>
    <xf numFmtId="164" fontId="10" fillId="0" borderId="2" xfId="0" applyNumberFormat="1" applyFont="1" applyBorder="1"/>
    <xf numFmtId="0" fontId="0" fillId="0" borderId="3" xfId="0" applyBorder="1"/>
    <xf numFmtId="20" fontId="0" fillId="0" borderId="3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28" fillId="0" borderId="2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7" fontId="0" fillId="0" borderId="5" xfId="0" applyNumberForma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79" fontId="10" fillId="0" borderId="2" xfId="3" applyNumberFormat="1" applyFont="1" applyBorder="1"/>
    <xf numFmtId="0" fontId="10" fillId="0" borderId="2" xfId="0" applyFont="1" applyBorder="1"/>
    <xf numFmtId="179" fontId="10" fillId="0" borderId="2" xfId="0" applyNumberFormat="1" applyFont="1" applyBorder="1"/>
    <xf numFmtId="2" fontId="0" fillId="0" borderId="2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178" fontId="29" fillId="0" borderId="0" xfId="0" applyNumberFormat="1" applyFont="1" applyAlignment="1">
      <alignment horizontal="center"/>
    </xf>
    <xf numFmtId="0" fontId="29" fillId="0" borderId="3" xfId="0" applyFont="1" applyBorder="1"/>
    <xf numFmtId="20" fontId="29" fillId="0" borderId="3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6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center"/>
    </xf>
    <xf numFmtId="20" fontId="29" fillId="0" borderId="0" xfId="0" applyNumberFormat="1" applyFont="1" applyAlignment="1">
      <alignment horizontal="center"/>
    </xf>
    <xf numFmtId="15" fontId="0" fillId="0" borderId="0" xfId="0" applyNumberFormat="1"/>
    <xf numFmtId="180" fontId="0" fillId="0" borderId="0" xfId="1" applyNumberFormat="1" applyFont="1"/>
    <xf numFmtId="181" fontId="0" fillId="0" borderId="0" xfId="1" applyNumberFormat="1" applyFont="1"/>
    <xf numFmtId="172" fontId="0" fillId="0" borderId="2" xfId="0" applyNumberForma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2" fontId="0" fillId="0" borderId="2" xfId="0" applyNumberFormat="1" applyBorder="1"/>
    <xf numFmtId="1" fontId="10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8" fillId="0" borderId="0" xfId="0" applyFont="1"/>
    <xf numFmtId="2" fontId="10" fillId="0" borderId="2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worksheet" Target="worksheets/sheet2.xml"/><Relationship Id="rId1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chartsheet" Target="chartsheets/sheet11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ratio of weights WV to CO2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month'!$AS$12:$AS$31</c:f>
              <c:numCache>
                <c:formatCode>0.0</c:formatCode>
                <c:ptCount val="20"/>
                <c:pt idx="0">
                  <c:v>0.31771764515902068</c:v>
                </c:pt>
                <c:pt idx="1">
                  <c:v>0.29478239965292075</c:v>
                </c:pt>
                <c:pt idx="2">
                  <c:v>4.6486763731517797</c:v>
                </c:pt>
                <c:pt idx="3">
                  <c:v>0.2866778130930005</c:v>
                </c:pt>
                <c:pt idx="4">
                  <c:v>2.1203039043069953</c:v>
                </c:pt>
                <c:pt idx="5">
                  <c:v>8.9511304467927921</c:v>
                </c:pt>
                <c:pt idx="6">
                  <c:v>6.922221944005809</c:v>
                </c:pt>
                <c:pt idx="7">
                  <c:v>6.5574289248822524</c:v>
                </c:pt>
                <c:pt idx="8">
                  <c:v>3.8753852873338239</c:v>
                </c:pt>
                <c:pt idx="9">
                  <c:v>5.3700076292797565</c:v>
                </c:pt>
                <c:pt idx="10">
                  <c:v>5.8968286666974725</c:v>
                </c:pt>
                <c:pt idx="11">
                  <c:v>37.902273598728165</c:v>
                </c:pt>
                <c:pt idx="12">
                  <c:v>42.224853073874556</c:v>
                </c:pt>
                <c:pt idx="13">
                  <c:v>39.394637483894776</c:v>
                </c:pt>
                <c:pt idx="14">
                  <c:v>11.057544056984078</c:v>
                </c:pt>
                <c:pt idx="15">
                  <c:v>27.171178259133359</c:v>
                </c:pt>
                <c:pt idx="16">
                  <c:v>16.048293325056285</c:v>
                </c:pt>
                <c:pt idx="17">
                  <c:v>15.884621550725786</c:v>
                </c:pt>
                <c:pt idx="18">
                  <c:v>6.3339846256204098</c:v>
                </c:pt>
                <c:pt idx="19">
                  <c:v>0.56463101492239265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65-4367-805B-658E3236500B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month'!$AS$38:$AS$57</c:f>
              <c:numCache>
                <c:formatCode>0.0</c:formatCode>
                <c:ptCount val="20"/>
                <c:pt idx="0">
                  <c:v>1.0168316721137185</c:v>
                </c:pt>
                <c:pt idx="1">
                  <c:v>1.6949272333583936</c:v>
                </c:pt>
                <c:pt idx="2">
                  <c:v>4.5581773163959856</c:v>
                </c:pt>
                <c:pt idx="3">
                  <c:v>2.2807204221573989</c:v>
                </c:pt>
                <c:pt idx="4">
                  <c:v>6.4339390234908462</c:v>
                </c:pt>
                <c:pt idx="5">
                  <c:v>11.452195739103008</c:v>
                </c:pt>
                <c:pt idx="6">
                  <c:v>11.557402631853602</c:v>
                </c:pt>
                <c:pt idx="7">
                  <c:v>9.0479451753531634</c:v>
                </c:pt>
                <c:pt idx="8">
                  <c:v>5.3502702620976743</c:v>
                </c:pt>
                <c:pt idx="9">
                  <c:v>3.1447795131950791</c:v>
                </c:pt>
                <c:pt idx="10">
                  <c:v>5.5934622222520973</c:v>
                </c:pt>
                <c:pt idx="11">
                  <c:v>40.909157399802631</c:v>
                </c:pt>
                <c:pt idx="12">
                  <c:v>35.991602467404675</c:v>
                </c:pt>
                <c:pt idx="13">
                  <c:v>38.687941456293466</c:v>
                </c:pt>
                <c:pt idx="14">
                  <c:v>13.57510208149283</c:v>
                </c:pt>
                <c:pt idx="15">
                  <c:v>25.679723539364353</c:v>
                </c:pt>
                <c:pt idx="16">
                  <c:v>10.632568354985271</c:v>
                </c:pt>
                <c:pt idx="17">
                  <c:v>14.288893019543334</c:v>
                </c:pt>
                <c:pt idx="18">
                  <c:v>8.0486072501673114</c:v>
                </c:pt>
                <c:pt idx="19" formatCode="0.00">
                  <c:v>0.11006881507303896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65-4367-805B-658E3236500B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month'!$AS$64:$AS$83</c:f>
              <c:numCache>
                <c:formatCode>0.0</c:formatCode>
                <c:ptCount val="20"/>
                <c:pt idx="0">
                  <c:v>2.7262872740743727</c:v>
                </c:pt>
                <c:pt idx="1">
                  <c:v>3.4783185169582396</c:v>
                </c:pt>
                <c:pt idx="2">
                  <c:v>6.9233182849070163</c:v>
                </c:pt>
                <c:pt idx="3">
                  <c:v>5.8975034052406503</c:v>
                </c:pt>
                <c:pt idx="4">
                  <c:v>3.3001867971145731</c:v>
                </c:pt>
                <c:pt idx="5">
                  <c:v>12.39209446505418</c:v>
                </c:pt>
                <c:pt idx="6">
                  <c:v>13.502846823851518</c:v>
                </c:pt>
                <c:pt idx="7">
                  <c:v>16.035638981343563</c:v>
                </c:pt>
                <c:pt idx="8">
                  <c:v>20.737353182322543</c:v>
                </c:pt>
                <c:pt idx="9">
                  <c:v>31.279285535066212</c:v>
                </c:pt>
                <c:pt idx="10">
                  <c:v>10.008055138560023</c:v>
                </c:pt>
                <c:pt idx="11">
                  <c:v>35.500521569265871</c:v>
                </c:pt>
                <c:pt idx="12">
                  <c:v>32.677847894630574</c:v>
                </c:pt>
                <c:pt idx="13">
                  <c:v>36.292531662246937</c:v>
                </c:pt>
                <c:pt idx="14">
                  <c:v>9.2749307396214125</c:v>
                </c:pt>
                <c:pt idx="15">
                  <c:v>11.907790426792495</c:v>
                </c:pt>
                <c:pt idx="16">
                  <c:v>9.5530324189715543</c:v>
                </c:pt>
                <c:pt idx="17">
                  <c:v>8.7508729968183285</c:v>
                </c:pt>
                <c:pt idx="18">
                  <c:v>11.097807630485034</c:v>
                </c:pt>
                <c:pt idx="19">
                  <c:v>0.11788828750915553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65-4367-805B-658E3236500B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month'!$AS$91:$AS$110</c:f>
              <c:numCache>
                <c:formatCode>0.0</c:formatCode>
                <c:ptCount val="20"/>
                <c:pt idx="0">
                  <c:v>7.0740828427941995</c:v>
                </c:pt>
                <c:pt idx="1">
                  <c:v>10.336616878592464</c:v>
                </c:pt>
                <c:pt idx="2">
                  <c:v>16.721682319344271</c:v>
                </c:pt>
                <c:pt idx="3">
                  <c:v>9.4986636522160257</c:v>
                </c:pt>
                <c:pt idx="4">
                  <c:v>10.226002177041204</c:v>
                </c:pt>
                <c:pt idx="5">
                  <c:v>22.581862548707477</c:v>
                </c:pt>
                <c:pt idx="6">
                  <c:v>18.233098547404431</c:v>
                </c:pt>
                <c:pt idx="7">
                  <c:v>17.667138596106696</c:v>
                </c:pt>
                <c:pt idx="8">
                  <c:v>27.444189026202753</c:v>
                </c:pt>
                <c:pt idx="9">
                  <c:v>9.4822147068954514</c:v>
                </c:pt>
                <c:pt idx="10">
                  <c:v>6.9840704481203177</c:v>
                </c:pt>
                <c:pt idx="11">
                  <c:v>37.902273598728165</c:v>
                </c:pt>
                <c:pt idx="12">
                  <c:v>39.529373723927812</c:v>
                </c:pt>
                <c:pt idx="13">
                  <c:v>29.853141349375168</c:v>
                </c:pt>
                <c:pt idx="14">
                  <c:v>9.4976601578698201</c:v>
                </c:pt>
                <c:pt idx="15">
                  <c:v>9.2204616218793376</c:v>
                </c:pt>
                <c:pt idx="16">
                  <c:v>9.0614559553279204</c:v>
                </c:pt>
                <c:pt idx="17">
                  <c:v>7.7440697650374197</c:v>
                </c:pt>
                <c:pt idx="18">
                  <c:v>8.0815510457786743</c:v>
                </c:pt>
                <c:pt idx="19">
                  <c:v>0.49896241656908324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965-4367-805B-658E3236500B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month'!$AS$118:$AS$137</c:f>
              <c:numCache>
                <c:formatCode>0.0</c:formatCode>
                <c:ptCount val="20"/>
                <c:pt idx="0">
                  <c:v>8.7439611238411867</c:v>
                </c:pt>
                <c:pt idx="1">
                  <c:v>10.93064890685889</c:v>
                </c:pt>
                <c:pt idx="2">
                  <c:v>8.2032446896054481</c:v>
                </c:pt>
                <c:pt idx="3">
                  <c:v>18.364006203753991</c:v>
                </c:pt>
                <c:pt idx="4">
                  <c:v>7.6876584831778771</c:v>
                </c:pt>
                <c:pt idx="5">
                  <c:v>14.613667949177351</c:v>
                </c:pt>
                <c:pt idx="6">
                  <c:v>29.604356059198768</c:v>
                </c:pt>
                <c:pt idx="7">
                  <c:v>37.225032859714879</c:v>
                </c:pt>
                <c:pt idx="8">
                  <c:v>20.105635594432069</c:v>
                </c:pt>
                <c:pt idx="9">
                  <c:v>31.127582423354418</c:v>
                </c:pt>
                <c:pt idx="10">
                  <c:v>9.3489291760690385</c:v>
                </c:pt>
                <c:pt idx="11">
                  <c:v>35.397941527988266</c:v>
                </c:pt>
                <c:pt idx="12">
                  <c:v>37.590938484518119</c:v>
                </c:pt>
                <c:pt idx="13">
                  <c:v>35.816639164760488</c:v>
                </c:pt>
                <c:pt idx="14">
                  <c:v>12.741988527113723</c:v>
                </c:pt>
                <c:pt idx="15">
                  <c:v>9.5530583446859225</c:v>
                </c:pt>
                <c:pt idx="16">
                  <c:v>10.251725434763399</c:v>
                </c:pt>
                <c:pt idx="17">
                  <c:v>10.390425672900825</c:v>
                </c:pt>
                <c:pt idx="18">
                  <c:v>8.0815510457786743</c:v>
                </c:pt>
                <c:pt idx="19">
                  <c:v>0.1573818854578321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965-4367-805B-658E3236500B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month'!$AS$145:$AS$164</c:f>
              <c:numCache>
                <c:formatCode>0.0</c:formatCode>
                <c:ptCount val="20"/>
                <c:pt idx="0">
                  <c:v>9.4074769201047292</c:v>
                </c:pt>
                <c:pt idx="1">
                  <c:v>12.218992552405195</c:v>
                </c:pt>
                <c:pt idx="2">
                  <c:v>8.1283632818477791</c:v>
                </c:pt>
                <c:pt idx="3">
                  <c:v>12.850720197990237</c:v>
                </c:pt>
                <c:pt idx="4">
                  <c:v>7.7266653063325847</c:v>
                </c:pt>
                <c:pt idx="5">
                  <c:v>18.218297637714649</c:v>
                </c:pt>
                <c:pt idx="6">
                  <c:v>23.57361728413046</c:v>
                </c:pt>
                <c:pt idx="7">
                  <c:v>28.015931134827209</c:v>
                </c:pt>
                <c:pt idx="8">
                  <c:v>34.659933846871908</c:v>
                </c:pt>
                <c:pt idx="9">
                  <c:v>16.06668695670653</c:v>
                </c:pt>
                <c:pt idx="10">
                  <c:v>8.648500084814934</c:v>
                </c:pt>
                <c:pt idx="11">
                  <c:v>37.757218421474924</c:v>
                </c:pt>
                <c:pt idx="12">
                  <c:v>38.052656747695224</c:v>
                </c:pt>
                <c:pt idx="13">
                  <c:v>35.24604529005623</c:v>
                </c:pt>
                <c:pt idx="14">
                  <c:v>12.44807643176291</c:v>
                </c:pt>
                <c:pt idx="15">
                  <c:v>12.743626798629371</c:v>
                </c:pt>
                <c:pt idx="16">
                  <c:v>10.922837624599401</c:v>
                </c:pt>
                <c:pt idx="17">
                  <c:v>9.2797233243967217</c:v>
                </c:pt>
                <c:pt idx="18">
                  <c:v>6.7143893593362298</c:v>
                </c:pt>
                <c:pt idx="19">
                  <c:v>0.13982407065095628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965-4367-805B-658E3236500B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month'!$AS$172:$AS$191</c:f>
              <c:numCache>
                <c:formatCode>0.0</c:formatCode>
                <c:ptCount val="20"/>
                <c:pt idx="0">
                  <c:v>4.5016267894739377</c:v>
                </c:pt>
                <c:pt idx="1">
                  <c:v>6.400194360606263</c:v>
                </c:pt>
                <c:pt idx="2">
                  <c:v>5.9851057663897054</c:v>
                </c:pt>
                <c:pt idx="3">
                  <c:v>6.0007630661379618</c:v>
                </c:pt>
                <c:pt idx="4">
                  <c:v>4.8528904446056877</c:v>
                </c:pt>
                <c:pt idx="5">
                  <c:v>13.643208509438736</c:v>
                </c:pt>
                <c:pt idx="6">
                  <c:v>17.745137962745527</c:v>
                </c:pt>
                <c:pt idx="7">
                  <c:v>20.16349270675957</c:v>
                </c:pt>
                <c:pt idx="8">
                  <c:v>17.654029939062756</c:v>
                </c:pt>
                <c:pt idx="9">
                  <c:v>13.427807649131317</c:v>
                </c:pt>
                <c:pt idx="10">
                  <c:v>7.5953173201008841</c:v>
                </c:pt>
                <c:pt idx="11">
                  <c:v>34.984350278429098</c:v>
                </c:pt>
                <c:pt idx="12">
                  <c:v>39.135875248928095</c:v>
                </c:pt>
                <c:pt idx="13">
                  <c:v>35.24604529005623</c:v>
                </c:pt>
                <c:pt idx="14">
                  <c:v>13.772825617306598</c:v>
                </c:pt>
                <c:pt idx="15">
                  <c:v>12.691020785953437</c:v>
                </c:pt>
                <c:pt idx="16">
                  <c:v>11.9741004140116</c:v>
                </c:pt>
                <c:pt idx="17">
                  <c:v>8.3683392757236703</c:v>
                </c:pt>
                <c:pt idx="18">
                  <c:v>12.187386214872362</c:v>
                </c:pt>
                <c:pt idx="19">
                  <c:v>0.52769700421959653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965-4367-805B-658E3236500B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month'!$AS$199:$AS$218</c:f>
              <c:numCache>
                <c:formatCode>0.0</c:formatCode>
                <c:ptCount val="20"/>
                <c:pt idx="0">
                  <c:v>3.8030818244646754</c:v>
                </c:pt>
                <c:pt idx="1">
                  <c:v>2.4735914007660864</c:v>
                </c:pt>
                <c:pt idx="2">
                  <c:v>4.7722213184992528</c:v>
                </c:pt>
                <c:pt idx="3">
                  <c:v>5.9645332373152185</c:v>
                </c:pt>
                <c:pt idx="4">
                  <c:v>5.3083263583132645</c:v>
                </c:pt>
                <c:pt idx="5">
                  <c:v>13.330355625590279</c:v>
                </c:pt>
                <c:pt idx="6">
                  <c:v>19.147181709936657</c:v>
                </c:pt>
                <c:pt idx="7">
                  <c:v>5.5579921333513429</c:v>
                </c:pt>
                <c:pt idx="8">
                  <c:v>13.784212914627167</c:v>
                </c:pt>
                <c:pt idx="9">
                  <c:v>7.5506119918104693</c:v>
                </c:pt>
                <c:pt idx="10">
                  <c:v>12.702752906941162</c:v>
                </c:pt>
                <c:pt idx="11">
                  <c:v>40.259134560016577</c:v>
                </c:pt>
                <c:pt idx="12">
                  <c:v>38.391791611268154</c:v>
                </c:pt>
                <c:pt idx="13">
                  <c:v>36.292531662246937</c:v>
                </c:pt>
                <c:pt idx="14">
                  <c:v>14.732518008550006</c:v>
                </c:pt>
                <c:pt idx="15">
                  <c:v>22.194553975447175</c:v>
                </c:pt>
                <c:pt idx="16">
                  <c:v>16.459153019146296</c:v>
                </c:pt>
                <c:pt idx="17">
                  <c:v>10.485960396120692</c:v>
                </c:pt>
                <c:pt idx="18">
                  <c:v>6.0384609069167086</c:v>
                </c:pt>
                <c:pt idx="19">
                  <c:v>0.941751843609131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965-4367-805B-658E3236500B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month'!$AS$226:$AS$245</c:f>
              <c:numCache>
                <c:formatCode>0.0</c:formatCode>
                <c:ptCount val="20"/>
                <c:pt idx="0">
                  <c:v>0.49432986535388029</c:v>
                </c:pt>
                <c:pt idx="1">
                  <c:v>0.42866955081790059</c:v>
                </c:pt>
                <c:pt idx="2">
                  <c:v>3.3104261524764782</c:v>
                </c:pt>
                <c:pt idx="3">
                  <c:v>0.41084783127649643</c:v>
                </c:pt>
                <c:pt idx="4">
                  <c:v>1.3294070100719484</c:v>
                </c:pt>
                <c:pt idx="5">
                  <c:v>8.492985011889731</c:v>
                </c:pt>
                <c:pt idx="6">
                  <c:v>11.909465107292663</c:v>
                </c:pt>
                <c:pt idx="7">
                  <c:v>3.3760131277848417</c:v>
                </c:pt>
                <c:pt idx="8">
                  <c:v>8.1496802107577153</c:v>
                </c:pt>
                <c:pt idx="9">
                  <c:v>4.0205307505176711</c:v>
                </c:pt>
                <c:pt idx="10">
                  <c:v>9.7488364461829917</c:v>
                </c:pt>
                <c:pt idx="11">
                  <c:v>35.397941527988266</c:v>
                </c:pt>
                <c:pt idx="12">
                  <c:v>36.256235019328052</c:v>
                </c:pt>
                <c:pt idx="13">
                  <c:v>34.150301415288965</c:v>
                </c:pt>
                <c:pt idx="14">
                  <c:v>16.184079869649036</c:v>
                </c:pt>
                <c:pt idx="15">
                  <c:v>25.534770752867896</c:v>
                </c:pt>
                <c:pt idx="16">
                  <c:v>13.657486134830236</c:v>
                </c:pt>
                <c:pt idx="17">
                  <c:v>13.503428128400005</c:v>
                </c:pt>
                <c:pt idx="18">
                  <c:v>5.7174859760179082</c:v>
                </c:pt>
                <c:pt idx="19">
                  <c:v>1.4843107274936254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965-4367-805B-658E3236500B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month'!$AS$253:$AS$272</c:f>
              <c:numCache>
                <c:formatCode>0.0</c:formatCode>
                <c:ptCount val="20"/>
                <c:pt idx="0">
                  <c:v>0.55958296306177358</c:v>
                </c:pt>
                <c:pt idx="1">
                  <c:v>0.35230500486187089</c:v>
                </c:pt>
                <c:pt idx="2">
                  <c:v>2.939087502604175</c:v>
                </c:pt>
                <c:pt idx="3">
                  <c:v>1.4835714056907925</c:v>
                </c:pt>
                <c:pt idx="4">
                  <c:v>1.9257243535461699</c:v>
                </c:pt>
                <c:pt idx="5">
                  <c:v>7.2297152219116745</c:v>
                </c:pt>
                <c:pt idx="6">
                  <c:v>9.5800211722710937</c:v>
                </c:pt>
                <c:pt idx="7">
                  <c:v>0.45565589971293086</c:v>
                </c:pt>
                <c:pt idx="8">
                  <c:v>2.740757215240853</c:v>
                </c:pt>
                <c:pt idx="9">
                  <c:v>2.6327254740067096</c:v>
                </c:pt>
                <c:pt idx="10">
                  <c:v>7.8236896384590793</c:v>
                </c:pt>
                <c:pt idx="11">
                  <c:v>42.979826898451819</c:v>
                </c:pt>
                <c:pt idx="12">
                  <c:v>37.073832534686396</c:v>
                </c:pt>
                <c:pt idx="13">
                  <c:v>35.655371798701644</c:v>
                </c:pt>
                <c:pt idx="14">
                  <c:v>17.721609312521718</c:v>
                </c:pt>
                <c:pt idx="15">
                  <c:v>25.534770752867896</c:v>
                </c:pt>
                <c:pt idx="16">
                  <c:v>8.7096052571412645</c:v>
                </c:pt>
                <c:pt idx="17">
                  <c:v>15.547791418987519</c:v>
                </c:pt>
                <c:pt idx="18">
                  <c:v>11.508213017742406</c:v>
                </c:pt>
                <c:pt idx="19">
                  <c:v>3.9323080920145088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965-4367-805B-658E3236500B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month'!$AS$280:$AS$299</c:f>
              <c:numCache>
                <c:formatCode>0.0</c:formatCode>
                <c:ptCount val="20"/>
                <c:pt idx="0">
                  <c:v>0.51698096557333106</c:v>
                </c:pt>
                <c:pt idx="1">
                  <c:v>0.46986878884995498</c:v>
                </c:pt>
                <c:pt idx="2">
                  <c:v>3.5546139644880945</c:v>
                </c:pt>
                <c:pt idx="3">
                  <c:v>0.23665403111677666</c:v>
                </c:pt>
                <c:pt idx="4">
                  <c:v>1.652150090819416</c:v>
                </c:pt>
                <c:pt idx="5">
                  <c:v>10.002125073091245</c:v>
                </c:pt>
                <c:pt idx="6">
                  <c:v>3.90115366168025</c:v>
                </c:pt>
                <c:pt idx="7">
                  <c:v>0.75885775310900427</c:v>
                </c:pt>
                <c:pt idx="8">
                  <c:v>0.73110635889358855</c:v>
                </c:pt>
                <c:pt idx="9">
                  <c:v>0.84490037215240488</c:v>
                </c:pt>
                <c:pt idx="10">
                  <c:v>4.6933955920306714</c:v>
                </c:pt>
                <c:pt idx="11">
                  <c:v>34.984350278429098</c:v>
                </c:pt>
                <c:pt idx="12">
                  <c:v>36.396065992079869</c:v>
                </c:pt>
                <c:pt idx="13">
                  <c:v>44.44091111834576</c:v>
                </c:pt>
                <c:pt idx="14">
                  <c:v>7.6490771939261295</c:v>
                </c:pt>
                <c:pt idx="15">
                  <c:v>23.947423284582559</c:v>
                </c:pt>
                <c:pt idx="16">
                  <c:v>14.917388838196986</c:v>
                </c:pt>
                <c:pt idx="17">
                  <c:v>15.022054487333675</c:v>
                </c:pt>
                <c:pt idx="18">
                  <c:v>13.483970238221131</c:v>
                </c:pt>
                <c:pt idx="19">
                  <c:v>1.9580092206152866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965-4367-805B-658E3236500B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month'!$AS$307:$AS$326</c:f>
              <c:numCache>
                <c:formatCode>0.0</c:formatCode>
                <c:ptCount val="20"/>
                <c:pt idx="0">
                  <c:v>0.26411272150690118</c:v>
                </c:pt>
                <c:pt idx="1">
                  <c:v>0.63870477404307602</c:v>
                </c:pt>
                <c:pt idx="2">
                  <c:v>4.1008544166303587</c:v>
                </c:pt>
                <c:pt idx="3">
                  <c:v>0.32127595543198911</c:v>
                </c:pt>
                <c:pt idx="4">
                  <c:v>2.0828958314467672</c:v>
                </c:pt>
                <c:pt idx="5">
                  <c:v>8.143867219672579</c:v>
                </c:pt>
                <c:pt idx="6">
                  <c:v>6.6387345867230243</c:v>
                </c:pt>
                <c:pt idx="7">
                  <c:v>1.0304019134331643</c:v>
                </c:pt>
                <c:pt idx="8">
                  <c:v>5.7775853646268471</c:v>
                </c:pt>
                <c:pt idx="9">
                  <c:v>2.8353002948945782</c:v>
                </c:pt>
                <c:pt idx="10">
                  <c:v>4.3685247708926873</c:v>
                </c:pt>
                <c:pt idx="11">
                  <c:v>40.70462020070913</c:v>
                </c:pt>
                <c:pt idx="12">
                  <c:v>36.722804699141783</c:v>
                </c:pt>
                <c:pt idx="13">
                  <c:v>32.28987549816447</c:v>
                </c:pt>
                <c:pt idx="14">
                  <c:v>15.168348426028409</c:v>
                </c:pt>
                <c:pt idx="15">
                  <c:v>19.915691668028021</c:v>
                </c:pt>
                <c:pt idx="16">
                  <c:v>7.4561388175533914</c:v>
                </c:pt>
                <c:pt idx="17">
                  <c:v>17.852654038340805</c:v>
                </c:pt>
                <c:pt idx="18">
                  <c:v>8.7835588336206705</c:v>
                </c:pt>
                <c:pt idx="19">
                  <c:v>0.68568724930828018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965-4367-805B-658E32365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2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Ratio weight WV to weight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336159903089"/>
          <c:y val="7.6935180107474813E-2"/>
          <c:w val="0.83801217155547869"/>
          <c:h val="0.79286013000749711"/>
        </c:manualLayout>
      </c:layout>
      <c:scatterChart>
        <c:scatterStyle val="smoothMarker"/>
        <c:varyColors val="0"/>
        <c:ser>
          <c:idx val="7"/>
          <c:order val="0"/>
          <c:tx>
            <c:v>Arc Apr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month'!$AZ$38:$AZ$41</c:f>
              <c:numCache>
                <c:formatCode>0.000000</c:formatCode>
                <c:ptCount val="4"/>
                <c:pt idx="0">
                  <c:v>4.5578154428892306E-4</c:v>
                </c:pt>
                <c:pt idx="1">
                  <c:v>7.1569404377207842E-4</c:v>
                </c:pt>
                <c:pt idx="2">
                  <c:v>2.3455830314812664E-3</c:v>
                </c:pt>
                <c:pt idx="3">
                  <c:v>1.0047157135333587E-3</c:v>
                </c:pt>
              </c:numCache>
            </c:numRef>
          </c:xVal>
          <c:yVal>
            <c:numRef>
              <c:f>'21st of month'!$AV$38:$AV$41</c:f>
              <c:numCache>
                <c:formatCode>0.000</c:formatCode>
                <c:ptCount val="4"/>
                <c:pt idx="0">
                  <c:v>4.9042520371772036E-2</c:v>
                </c:pt>
                <c:pt idx="1">
                  <c:v>6.0965734120840831E-2</c:v>
                </c:pt>
                <c:pt idx="2">
                  <c:v>0.10424677443010066</c:v>
                </c:pt>
                <c:pt idx="3">
                  <c:v>7.0829608815138889E-2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F2-4354-A76A-9A86CD6D3858}"/>
            </c:ext>
          </c:extLst>
        </c:ser>
        <c:ser>
          <c:idx val="8"/>
          <c:order val="1"/>
          <c:tx>
            <c:v>Arc May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month'!$AZ$64:$AZ$67</c:f>
              <c:numCache>
                <c:formatCode>0.000000</c:formatCode>
                <c:ptCount val="4"/>
                <c:pt idx="0">
                  <c:v>1.0764597943853219E-3</c:v>
                </c:pt>
                <c:pt idx="1">
                  <c:v>1.2951102542908255E-3</c:v>
                </c:pt>
                <c:pt idx="2">
                  <c:v>1.5690747642713488E-3</c:v>
                </c:pt>
                <c:pt idx="3">
                  <c:v>3.0541572982310358E-3</c:v>
                </c:pt>
              </c:numCache>
            </c:numRef>
          </c:xVal>
          <c:yVal>
            <c:numRef>
              <c:f>'21st of month'!$AV$64:$AV$67</c:f>
              <c:numCache>
                <c:formatCode>0.000</c:formatCode>
                <c:ptCount val="4"/>
                <c:pt idx="0">
                  <c:v>7.3357784307251039E-2</c:v>
                </c:pt>
                <c:pt idx="1">
                  <c:v>8.0234739825285617E-2</c:v>
                </c:pt>
                <c:pt idx="2">
                  <c:v>8.6698495297170997E-2</c:v>
                </c:pt>
                <c:pt idx="3">
                  <c:v>0.11781081969891627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F2-4354-A76A-9A86CD6D3858}"/>
            </c:ext>
          </c:extLst>
        </c:ser>
        <c:ser>
          <c:idx val="0"/>
          <c:order val="2"/>
          <c:tx>
            <c:v>Arc Mar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'21st of month'!$AZ$12:$AZ$15</c:f>
              <c:numCache>
                <c:formatCode>0.000000</c:formatCode>
                <c:ptCount val="4"/>
                <c:pt idx="0">
                  <c:v>6.8426938724925183E-5</c:v>
                </c:pt>
                <c:pt idx="1">
                  <c:v>9.0669497209416091E-5</c:v>
                </c:pt>
                <c:pt idx="2">
                  <c:v>1.4147715273568175E-3</c:v>
                </c:pt>
                <c:pt idx="3">
                  <c:v>6.6925828922058435E-5</c:v>
                </c:pt>
              </c:numCache>
            </c:numRef>
          </c:xVal>
          <c:yVal>
            <c:numRef>
              <c:f>'21st of month'!$AV$12:$AV$15</c:f>
              <c:numCache>
                <c:formatCode>0.000</c:formatCode>
                <c:ptCount val="4"/>
                <c:pt idx="0">
                  <c:v>1.9984749896852616E-2</c:v>
                </c:pt>
                <c:pt idx="1">
                  <c:v>2.317079137869682E-2</c:v>
                </c:pt>
                <c:pt idx="2">
                  <c:v>8.2639544197861792E-2</c:v>
                </c:pt>
                <c:pt idx="3">
                  <c:v>1.9546336246658469E-2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F2-4354-A76A-9A86CD6D3858}"/>
            </c:ext>
          </c:extLst>
        </c:ser>
        <c:ser>
          <c:idx val="1"/>
          <c:order val="3"/>
          <c:tx>
            <c:v>ArcJ 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month'!$AZ$91:$AZ$94</c:f>
              <c:numCache>
                <c:formatCode>0.000000</c:formatCode>
                <c:ptCount val="4"/>
                <c:pt idx="0">
                  <c:v>2.0065884247484835E-3</c:v>
                </c:pt>
                <c:pt idx="1">
                  <c:v>2.1972341439280359E-3</c:v>
                </c:pt>
                <c:pt idx="2">
                  <c:v>2.6328141544679608E-3</c:v>
                </c:pt>
                <c:pt idx="3">
                  <c:v>2.6492333258028586E-3</c:v>
                </c:pt>
              </c:numCache>
            </c:numRef>
          </c:xVal>
          <c:yVal>
            <c:numRef>
              <c:f>'21st of month'!$AV$91:$AV$94</c:f>
              <c:numCache>
                <c:formatCode>0.000</c:formatCode>
                <c:ptCount val="4"/>
                <c:pt idx="0">
                  <c:v>9.7673929210160271E-2</c:v>
                </c:pt>
                <c:pt idx="1">
                  <c:v>0.10209237550773342</c:v>
                </c:pt>
                <c:pt idx="2">
                  <c:v>0.10984840887519753</c:v>
                </c:pt>
                <c:pt idx="3">
                  <c:v>0.11053346286699828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5F2-4354-A76A-9A86CD6D3858}"/>
            </c:ext>
          </c:extLst>
        </c:ser>
        <c:ser>
          <c:idx val="2"/>
          <c:order val="4"/>
          <c:tx>
            <c:v>Arc 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month'!$AZ$118:$AZ$121</c:f>
              <c:numCache>
                <c:formatCode>0.000000</c:formatCode>
                <c:ptCount val="4"/>
                <c:pt idx="0">
                  <c:v>1.9197992429547395E-3</c:v>
                </c:pt>
                <c:pt idx="1">
                  <c:v>2.1070109700243333E-3</c:v>
                </c:pt>
                <c:pt idx="2">
                  <c:v>2.3455830314812664E-3</c:v>
                </c:pt>
                <c:pt idx="3">
                  <c:v>4.6457978521981099E-3</c:v>
                </c:pt>
              </c:numCache>
            </c:numRef>
          </c:xVal>
          <c:yVal>
            <c:numRef>
              <c:f>'21st of month'!$AV$118:$AV$121</c:f>
              <c:numCache>
                <c:formatCode>0.000</c:formatCode>
                <c:ptCount val="4"/>
                <c:pt idx="0">
                  <c:v>9.5728577599388687E-2</c:v>
                </c:pt>
                <c:pt idx="1">
                  <c:v>0.10017699215364584</c:v>
                </c:pt>
                <c:pt idx="2">
                  <c:v>0.10424677443010066</c:v>
                </c:pt>
                <c:pt idx="3">
                  <c:v>0.14176047270777054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5F2-4354-A76A-9A86CD6D3858}"/>
            </c:ext>
          </c:extLst>
        </c:ser>
        <c:ser>
          <c:idx val="3"/>
          <c:order val="5"/>
          <c:tx>
            <c:v>Arc 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month'!$AZ$145:$AZ$148</c:f>
              <c:numCache>
                <c:formatCode>0.000000</c:formatCode>
                <c:ptCount val="4"/>
                <c:pt idx="0">
                  <c:v>1.9197992429547395E-3</c:v>
                </c:pt>
                <c:pt idx="1">
                  <c:v>2.3823792374044334E-3</c:v>
                </c:pt>
                <c:pt idx="2">
                  <c:v>2.0722424188952399E-3</c:v>
                </c:pt>
                <c:pt idx="3">
                  <c:v>2.8487718802498244E-3</c:v>
                </c:pt>
              </c:numCache>
            </c:numRef>
          </c:xVal>
          <c:yVal>
            <c:numRef>
              <c:f>'21st of month'!$AV$145:$AV$148</c:f>
              <c:numCache>
                <c:formatCode>0.000</c:formatCode>
                <c:ptCount val="4"/>
                <c:pt idx="0">
                  <c:v>9.5728577599388687E-2</c:v>
                </c:pt>
                <c:pt idx="1">
                  <c:v>0.10588214002034946</c:v>
                </c:pt>
                <c:pt idx="2">
                  <c:v>9.8523935324229983E-2</c:v>
                </c:pt>
                <c:pt idx="3">
                  <c:v>0.1141976440473943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5F2-4354-A76A-9A86CD6D3858}"/>
            </c:ext>
          </c:extLst>
        </c:ser>
        <c:ser>
          <c:idx val="4"/>
          <c:order val="6"/>
          <c:tx>
            <c:v>Arc 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month'!$AZ$172:$AZ$175</c:f>
              <c:numCache>
                <c:formatCode>0.000000</c:formatCode>
                <c:ptCount val="4"/>
                <c:pt idx="0">
                  <c:v>1.285536083426712E-3</c:v>
                </c:pt>
                <c:pt idx="1">
                  <c:v>1.7621816799945139E-3</c:v>
                </c:pt>
                <c:pt idx="2">
                  <c:v>1.8132477735314813E-3</c:v>
                </c:pt>
                <c:pt idx="3">
                  <c:v>1.8270909304551753E-3</c:v>
                </c:pt>
              </c:numCache>
            </c:numRef>
          </c:xVal>
          <c:yVal>
            <c:numRef>
              <c:f>'21st of month'!$AV$172:$AV$175</c:f>
              <c:numCache>
                <c:formatCode>0.000</c:formatCode>
                <c:ptCount val="4"/>
                <c:pt idx="0">
                  <c:v>7.9641600279227731E-2</c:v>
                </c:pt>
                <c:pt idx="1">
                  <c:v>9.2375270139768428E-2</c:v>
                </c:pt>
                <c:pt idx="2">
                  <c:v>9.2675899109367132E-2</c:v>
                </c:pt>
                <c:pt idx="3">
                  <c:v>9.3383429008558339E-2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5F2-4354-A76A-9A86CD6D3858}"/>
            </c:ext>
          </c:extLst>
        </c:ser>
        <c:ser>
          <c:idx val="5"/>
          <c:order val="7"/>
          <c:tx>
            <c:v>Arc Oct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month'!$AZ$199:$AZ$202</c:f>
              <c:numCache>
                <c:formatCode>0.000000</c:formatCode>
                <c:ptCount val="4"/>
                <c:pt idx="0">
                  <c:v>1.2140412762881516E-3</c:v>
                </c:pt>
                <c:pt idx="1">
                  <c:v>8.9193181644584224E-4</c:v>
                </c:pt>
                <c:pt idx="2">
                  <c:v>1.6487886910012044E-3</c:v>
                </c:pt>
                <c:pt idx="3">
                  <c:v>1.5820213144333106E-3</c:v>
                </c:pt>
              </c:numCache>
            </c:numRef>
          </c:xVal>
          <c:yVal>
            <c:numRef>
              <c:f>'21st of month'!$AV$199:$AV$202</c:f>
              <c:numCache>
                <c:formatCode>0.000</c:formatCode>
                <c:ptCount val="4"/>
                <c:pt idx="0">
                  <c:v>7.7562736101392638E-2</c:v>
                </c:pt>
                <c:pt idx="1">
                  <c:v>6.753634268850961E-2</c:v>
                </c:pt>
                <c:pt idx="2">
                  <c:v>8.8705602475992018E-2</c:v>
                </c:pt>
                <c:pt idx="3">
                  <c:v>8.7413850896464362E-2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5F2-4354-A76A-9A86CD6D3858}"/>
            </c:ext>
          </c:extLst>
        </c:ser>
        <c:ser>
          <c:idx val="6"/>
          <c:order val="8"/>
          <c:tx>
            <c:v>Arc 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month'!$AZ$226:$AZ$229</c:f>
              <c:numCache>
                <c:formatCode>0.000000</c:formatCode>
                <c:ptCount val="4"/>
                <c:pt idx="0">
                  <c:v>1.9039283764767936E-4</c:v>
                </c:pt>
                <c:pt idx="1">
                  <c:v>1.6482381038427071E-4</c:v>
                </c:pt>
                <c:pt idx="2">
                  <c:v>1.2674289024952343E-3</c:v>
                </c:pt>
                <c:pt idx="3">
                  <c:v>1.3247915153335139E-4</c:v>
                </c:pt>
              </c:numCache>
            </c:numRef>
          </c:xVal>
          <c:yVal>
            <c:numRef>
              <c:f>'21st of month'!$AV$226:$AV$229</c:f>
              <c:numCache>
                <c:formatCode>0.000</c:formatCode>
                <c:ptCount val="4"/>
                <c:pt idx="0">
                  <c:v>3.2436875001400356E-2</c:v>
                </c:pt>
                <c:pt idx="1">
                  <c:v>3.0633520581077489E-2</c:v>
                </c:pt>
                <c:pt idx="2">
                  <c:v>7.8519823236544939E-2</c:v>
                </c:pt>
                <c:pt idx="3">
                  <c:v>2.7084273116602331E-2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5F2-4354-A76A-9A86CD6D3858}"/>
            </c:ext>
          </c:extLst>
        </c:ser>
        <c:ser>
          <c:idx val="9"/>
          <c:order val="9"/>
          <c:tx>
            <c:v>Arc 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month'!$AZ$253:$AZ$256</c:f>
              <c:numCache>
                <c:formatCode>0.000000</c:formatCode>
                <c:ptCount val="4"/>
                <c:pt idx="0">
                  <c:v>2.5526999231151873E-4</c:v>
                </c:pt>
                <c:pt idx="1">
                  <c:v>1.6482381038427071E-4</c:v>
                </c:pt>
                <c:pt idx="2">
                  <c:v>1.0598117562653055E-3</c:v>
                </c:pt>
                <c:pt idx="3">
                  <c:v>5.9689661907297352E-4</c:v>
                </c:pt>
              </c:numCache>
            </c:numRef>
          </c:xVal>
          <c:yVal>
            <c:numRef>
              <c:f>'21st of month'!$AV$253:$AV$256</c:f>
              <c:numCache>
                <c:formatCode>0.000</c:formatCode>
                <c:ptCount val="4"/>
                <c:pt idx="0">
                  <c:v>3.7277036263635432E-2</c:v>
                </c:pt>
                <c:pt idx="1">
                  <c:v>3.0633520581077489E-2</c:v>
                </c:pt>
                <c:pt idx="2">
                  <c:v>7.222326614324992E-2</c:v>
                </c:pt>
                <c:pt idx="3">
                  <c:v>5.5468456961763279E-2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5F2-4354-A76A-9A86CD6D3858}"/>
            </c:ext>
          </c:extLst>
        </c:ser>
        <c:ser>
          <c:idx val="10"/>
          <c:order val="10"/>
          <c:tx>
            <c:v>Arc Jan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month'!$AZ$280:$AZ$283</c:f>
              <c:numCache>
                <c:formatCode>0.000000</c:formatCode>
                <c:ptCount val="4"/>
                <c:pt idx="0">
                  <c:v>1.3459720073270354E-4</c:v>
                </c:pt>
                <c:pt idx="1">
                  <c:v>2.2578704350166988E-4</c:v>
                </c:pt>
                <c:pt idx="2">
                  <c:v>1.2674289024952343E-3</c:v>
                </c:pt>
                <c:pt idx="3">
                  <c:v>3.5256542589914428E-5</c:v>
                </c:pt>
              </c:numCache>
            </c:numRef>
          </c:xVal>
          <c:yVal>
            <c:numRef>
              <c:f>'21st of month'!$AV$280:$AV$283</c:f>
              <c:numCache>
                <c:formatCode>0.000</c:formatCode>
                <c:ptCount val="4"/>
                <c:pt idx="0">
                  <c:v>2.7517290858078525E-2</c:v>
                </c:pt>
                <c:pt idx="1">
                  <c:v>3.5507926409026114E-2</c:v>
                </c:pt>
                <c:pt idx="2">
                  <c:v>7.8519823236544939E-2</c:v>
                </c:pt>
                <c:pt idx="3">
                  <c:v>1.4415820415516034E-2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5F2-4354-A76A-9A86CD6D3858}"/>
            </c:ext>
          </c:extLst>
        </c:ser>
        <c:ser>
          <c:idx val="11"/>
          <c:order val="11"/>
          <c:tx>
            <c:v>Arc Feb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month'!$AZ$307:$AZ$310</c:f>
              <c:numCache>
                <c:formatCode>0.000000</c:formatCode>
                <c:ptCount val="4"/>
                <c:pt idx="0">
                  <c:v>6.8426938724925183E-5</c:v>
                </c:pt>
                <c:pt idx="1">
                  <c:v>2.9571226748258958E-4</c:v>
                </c:pt>
                <c:pt idx="2">
                  <c:v>1.1964168248518035E-3</c:v>
                </c:pt>
                <c:pt idx="3">
                  <c:v>1.3247915153335139E-4</c:v>
                </c:pt>
              </c:numCache>
            </c:numRef>
          </c:xVal>
          <c:yVal>
            <c:numRef>
              <c:f>'21st of month'!$AV$307:$AV$310</c:f>
              <c:numCache>
                <c:formatCode>0.000</c:formatCode>
                <c:ptCount val="4"/>
                <c:pt idx="0">
                  <c:v>1.9984749896852616E-2</c:v>
                </c:pt>
                <c:pt idx="1">
                  <c:v>4.0303960906190484E-2</c:v>
                </c:pt>
                <c:pt idx="2">
                  <c:v>7.6436744174768201E-2</c:v>
                </c:pt>
                <c:pt idx="3">
                  <c:v>2.7084273116602331E-2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5F2-4354-A76A-9A86CD6D3858}"/>
            </c:ext>
          </c:extLst>
        </c:ser>
        <c:ser>
          <c:idx val="12"/>
          <c:order val="12"/>
          <c:tx>
            <c:v>Ant Mar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month'!$AZ$31</c:f>
              <c:numCache>
                <c:formatCode>0.000000</c:formatCode>
                <c:ptCount val="1"/>
                <c:pt idx="0">
                  <c:v>2.4456459603907607E-4</c:v>
                </c:pt>
              </c:numCache>
            </c:numRef>
          </c:xVal>
          <c:yVal>
            <c:numRef>
              <c:f>'21st of month'!$AV$31</c:f>
              <c:numCache>
                <c:formatCode>0.000</c:formatCode>
                <c:ptCount val="1"/>
                <c:pt idx="0">
                  <c:v>3.5713728953399637E-2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5F2-4354-A76A-9A86CD6D3858}"/>
            </c:ext>
          </c:extLst>
        </c:ser>
        <c:ser>
          <c:idx val="13"/>
          <c:order val="13"/>
          <c:tx>
            <c:v>Ant Apr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month'!$AZ$57</c:f>
              <c:numCache>
                <c:formatCode>0.000000</c:formatCode>
                <c:ptCount val="1"/>
                <c:pt idx="0">
                  <c:v>0</c:v>
                </c:pt>
              </c:numCache>
            </c:numRef>
          </c:xVal>
          <c:yVal>
            <c:numRef>
              <c:f>'21st of month'!$AV$57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5F2-4354-A76A-9A86CD6D3858}"/>
            </c:ext>
          </c:extLst>
        </c:ser>
        <c:ser>
          <c:idx val="14"/>
          <c:order val="14"/>
          <c:tx>
            <c:v>Ant 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'21st of month'!$AZ$83</c:f>
              <c:numCache>
                <c:formatCode>0.000000</c:formatCode>
                <c:ptCount val="1"/>
                <c:pt idx="0">
                  <c:v>2.0804124532962829E-5</c:v>
                </c:pt>
              </c:numCache>
            </c:numRef>
          </c:xVal>
          <c:yVal>
            <c:numRef>
              <c:f>'21st of month'!$AV$83</c:f>
              <c:numCache>
                <c:formatCode>0.000</c:formatCode>
                <c:ptCount val="1"/>
                <c:pt idx="0">
                  <c:v>1.0633080456073141E-2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5F2-4354-A76A-9A86CD6D3858}"/>
            </c:ext>
          </c:extLst>
        </c:ser>
        <c:ser>
          <c:idx val="15"/>
          <c:order val="15"/>
          <c:tx>
            <c:v>Ant Jun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month'!$AZ$110</c:f>
              <c:numCache>
                <c:formatCode>0.000000</c:formatCode>
                <c:ptCount val="1"/>
                <c:pt idx="0">
                  <c:v>4.4154004813918679E-4</c:v>
                </c:pt>
              </c:numCache>
            </c:numRef>
          </c:xVal>
          <c:yVal>
            <c:numRef>
              <c:f>'21st of month'!$AV$110</c:f>
              <c:numCache>
                <c:formatCode>0.000</c:formatCode>
                <c:ptCount val="1"/>
                <c:pt idx="0">
                  <c:v>4.7510122068682326E-2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5F2-4354-A76A-9A86CD6D3858}"/>
            </c:ext>
          </c:extLst>
        </c:ser>
        <c:ser>
          <c:idx val="16"/>
          <c:order val="16"/>
          <c:tx>
            <c:v>Ant 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month'!$AZ$137</c:f>
              <c:numCache>
                <c:formatCode>0.000000</c:formatCode>
                <c:ptCount val="1"/>
                <c:pt idx="0">
                  <c:v>1.2682503407191896E-4</c:v>
                </c:pt>
              </c:numCache>
            </c:numRef>
          </c:xVal>
          <c:yVal>
            <c:numRef>
              <c:f>'21st of month'!$AV$137</c:f>
              <c:numCache>
                <c:formatCode>0.000</c:formatCode>
                <c:ptCount val="1"/>
                <c:pt idx="0">
                  <c:v>2.5928335297056182E-2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25F2-4354-A76A-9A86CD6D3858}"/>
            </c:ext>
          </c:extLst>
        </c:ser>
        <c:ser>
          <c:idx val="17"/>
          <c:order val="17"/>
          <c:tx>
            <c:v>Ant 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month'!$AZ$164</c:f>
              <c:numCache>
                <c:formatCode>0.000000</c:formatCode>
                <c:ptCount val="1"/>
                <c:pt idx="0">
                  <c:v>2.0804124532962829E-5</c:v>
                </c:pt>
              </c:numCache>
            </c:numRef>
          </c:xVal>
          <c:yVal>
            <c:numRef>
              <c:f>'21st of month'!$AV$164</c:f>
              <c:numCache>
                <c:formatCode>0.000</c:formatCode>
                <c:ptCount val="1"/>
                <c:pt idx="0">
                  <c:v>1.0633080456073141E-2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25F2-4354-A76A-9A86CD6D3858}"/>
            </c:ext>
          </c:extLst>
        </c:ser>
        <c:ser>
          <c:idx val="18"/>
          <c:order val="18"/>
          <c:tx>
            <c:v>Ant 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month'!$AZ$191</c:f>
              <c:numCache>
                <c:formatCode>0.000000</c:formatCode>
                <c:ptCount val="1"/>
                <c:pt idx="0">
                  <c:v>3.5629490962286369E-4</c:v>
                </c:pt>
              </c:numCache>
            </c:numRef>
          </c:xVal>
          <c:yVal>
            <c:numRef>
              <c:f>'21st of month'!$AV$191</c:f>
              <c:numCache>
                <c:formatCode>0.000</c:formatCode>
                <c:ptCount val="1"/>
                <c:pt idx="0">
                  <c:v>4.2847979033100558E-2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5F2-4354-A76A-9A86CD6D3858}"/>
            </c:ext>
          </c:extLst>
        </c:ser>
        <c:ser>
          <c:idx val="19"/>
          <c:order val="19"/>
          <c:tx>
            <c:v>Ant Oct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month'!$AZ$218</c:f>
              <c:numCache>
                <c:formatCode>0.000000</c:formatCode>
                <c:ptCount val="1"/>
                <c:pt idx="0">
                  <c:v>4.8731386403653819E-4</c:v>
                </c:pt>
              </c:numCache>
            </c:numRef>
          </c:xVal>
          <c:yVal>
            <c:numRef>
              <c:f>'21st of month'!$AV$218</c:f>
              <c:numCache>
                <c:formatCode>0.000</c:formatCode>
                <c:ptCount val="1"/>
                <c:pt idx="0">
                  <c:v>4.9813656089689351E-2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25F2-4354-A76A-9A86CD6D3858}"/>
            </c:ext>
          </c:extLst>
        </c:ser>
        <c:ser>
          <c:idx val="20"/>
          <c:order val="20"/>
          <c:tx>
            <c:v>Ant 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month'!$AZ$245</c:f>
              <c:numCache>
                <c:formatCode>0.000000</c:formatCode>
                <c:ptCount val="1"/>
                <c:pt idx="0">
                  <c:v>9.2596008980072727E-4</c:v>
                </c:pt>
              </c:numCache>
            </c:numRef>
          </c:xVal>
          <c:yVal>
            <c:numRef>
              <c:f>'21st of month'!$AV$245</c:f>
              <c:numCache>
                <c:formatCode>0.000</c:formatCode>
                <c:ptCount val="1"/>
                <c:pt idx="0">
                  <c:v>6.7608902115016245E-2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5F2-4354-A76A-9A86CD6D3858}"/>
            </c:ext>
          </c:extLst>
        </c:ser>
        <c:ser>
          <c:idx val="21"/>
          <c:order val="21"/>
          <c:tx>
            <c:v>Ant 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'21st of month'!$AZ$272</c:f>
              <c:numCache>
                <c:formatCode>0.000000</c:formatCode>
                <c:ptCount val="1"/>
                <c:pt idx="0">
                  <c:v>1.3347480611729543E-3</c:v>
                </c:pt>
              </c:numCache>
            </c:numRef>
          </c:xVal>
          <c:yVal>
            <c:numRef>
              <c:f>'21st of month'!$AV$272</c:f>
              <c:numCache>
                <c:formatCode>0.000</c:formatCode>
                <c:ptCount val="1"/>
                <c:pt idx="0">
                  <c:v>8.0258313260982317E-2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25F2-4354-A76A-9A86CD6D3858}"/>
            </c:ext>
          </c:extLst>
        </c:ser>
        <c:ser>
          <c:idx val="22"/>
          <c:order val="22"/>
          <c:tx>
            <c:v>Ant Jan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month'!$AZ$299</c:f>
              <c:numCache>
                <c:formatCode>0.000000</c:formatCode>
                <c:ptCount val="1"/>
                <c:pt idx="0">
                  <c:v>1.4853113639241031E-3</c:v>
                </c:pt>
              </c:numCache>
            </c:numRef>
          </c:xVal>
          <c:yVal>
            <c:numRef>
              <c:f>'21st of month'!$AV$299</c:f>
              <c:numCache>
                <c:formatCode>0.000</c:formatCode>
                <c:ptCount val="1"/>
                <c:pt idx="0">
                  <c:v>8.4349915058114844E-2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5F2-4354-A76A-9A86CD6D3858}"/>
            </c:ext>
          </c:extLst>
        </c:ser>
        <c:ser>
          <c:idx val="23"/>
          <c:order val="23"/>
          <c:tx>
            <c:v>Ant Feb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month'!$AZ$326</c:f>
              <c:numCache>
                <c:formatCode>0.000000</c:formatCode>
                <c:ptCount val="1"/>
                <c:pt idx="0">
                  <c:v>5.8504092360467288E-4</c:v>
                </c:pt>
              </c:numCache>
            </c:numRef>
          </c:xVal>
          <c:yVal>
            <c:numRef>
              <c:f>'21st of month'!$AV$326</c:f>
              <c:numCache>
                <c:formatCode>0.000</c:formatCode>
                <c:ptCount val="1"/>
                <c:pt idx="0">
                  <c:v>5.4366729940999559E-2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25F2-4354-A76A-9A86CD6D3858}"/>
            </c:ext>
          </c:extLst>
        </c:ser>
        <c:ser>
          <c:idx val="24"/>
          <c:order val="24"/>
          <c:tx>
            <c:v>Rem 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month'!$AZ$16:$AZ$30</c:f>
              <c:numCache>
                <c:formatCode>0.000000</c:formatCode>
                <c:ptCount val="15"/>
                <c:pt idx="0">
                  <c:v>2.3293271853291357E-3</c:v>
                </c:pt>
                <c:pt idx="1">
                  <c:v>2.144026949691083E-3</c:v>
                </c:pt>
                <c:pt idx="2">
                  <c:v>2.1292081623663721E-3</c:v>
                </c:pt>
                <c:pt idx="3">
                  <c:v>1.8869332781408989E-3</c:v>
                </c:pt>
                <c:pt idx="4">
                  <c:v>1.4673960751207305E-3</c:v>
                </c:pt>
                <c:pt idx="5">
                  <c:v>1.9346626862199073E-3</c:v>
                </c:pt>
                <c:pt idx="6">
                  <c:v>3.4479425824262958E-3</c:v>
                </c:pt>
                <c:pt idx="7">
                  <c:v>4.2904411484120308E-3</c:v>
                </c:pt>
                <c:pt idx="8">
                  <c:v>4.4799700222867772E-3</c:v>
                </c:pt>
                <c:pt idx="9">
                  <c:v>4.8370124885738731E-3</c:v>
                </c:pt>
                <c:pt idx="10">
                  <c:v>3.2773555467061882E-3</c:v>
                </c:pt>
                <c:pt idx="11">
                  <c:v>3.5409609391847735E-3</c:v>
                </c:pt>
                <c:pt idx="12">
                  <c:v>3.2373686386330939E-3</c:v>
                </c:pt>
                <c:pt idx="13">
                  <c:v>2.8179047450555511E-3</c:v>
                </c:pt>
                <c:pt idx="14">
                  <c:v>1.8132477735314813E-3</c:v>
                </c:pt>
              </c:numCache>
            </c:numRef>
          </c:xVal>
          <c:yVal>
            <c:numRef>
              <c:f>'21st of month'!$AV$16:$AV$30</c:f>
              <c:numCache>
                <c:formatCode>0.000</c:formatCode>
                <c:ptCount val="15"/>
                <c:pt idx="0">
                  <c:v>0.11614921666077704</c:v>
                </c:pt>
                <c:pt idx="1">
                  <c:v>9.9620154297825891E-2</c:v>
                </c:pt>
                <c:pt idx="2">
                  <c:v>0.10364264278596957</c:v>
                </c:pt>
                <c:pt idx="3">
                  <c:v>9.8914869722472099E-2</c:v>
                </c:pt>
                <c:pt idx="4">
                  <c:v>8.5713445924561982E-2</c:v>
                </c:pt>
                <c:pt idx="5">
                  <c:v>0.10408575708070078</c:v>
                </c:pt>
                <c:pt idx="6">
                  <c:v>0.12816427409957398</c:v>
                </c:pt>
                <c:pt idx="7">
                  <c:v>0.13705397050843504</c:v>
                </c:pt>
                <c:pt idx="8">
                  <c:v>0.13877167135862312</c:v>
                </c:pt>
                <c:pt idx="9">
                  <c:v>0.14542462163761927</c:v>
                </c:pt>
                <c:pt idx="10">
                  <c:v>0.13958924810025608</c:v>
                </c:pt>
                <c:pt idx="11">
                  <c:v>0.12700356941580149</c:v>
                </c:pt>
                <c:pt idx="12">
                  <c:v>0.12033698115447256</c:v>
                </c:pt>
                <c:pt idx="13">
                  <c:v>0.11296028483933818</c:v>
                </c:pt>
                <c:pt idx="14">
                  <c:v>9.2675899109367132E-2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25F2-4354-A76A-9A86CD6D3858}"/>
            </c:ext>
          </c:extLst>
        </c:ser>
        <c:ser>
          <c:idx val="25"/>
          <c:order val="25"/>
          <c:tx>
            <c:v>Rem 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month'!$AZ$42:$AZ$56</c:f>
              <c:numCache>
                <c:formatCode>0.000000</c:formatCode>
                <c:ptCount val="15"/>
                <c:pt idx="0">
                  <c:v>2.6197294976345918E-3</c:v>
                </c:pt>
                <c:pt idx="1">
                  <c:v>2.6133872801034543E-3</c:v>
                </c:pt>
                <c:pt idx="2">
                  <c:v>3.4284644601574347E-3</c:v>
                </c:pt>
                <c:pt idx="3">
                  <c:v>3.13300751533948E-3</c:v>
                </c:pt>
                <c:pt idx="4">
                  <c:v>1.4673960751207305E-3</c:v>
                </c:pt>
                <c:pt idx="5">
                  <c:v>2.0225091273050784E-3</c:v>
                </c:pt>
                <c:pt idx="6">
                  <c:v>6.0351639032224661E-3</c:v>
                </c:pt>
                <c:pt idx="7">
                  <c:v>4.7769758710137829E-3</c:v>
                </c:pt>
                <c:pt idx="8">
                  <c:v>4.0060171598081682E-3</c:v>
                </c:pt>
                <c:pt idx="9">
                  <c:v>4.9624301886020327E-3</c:v>
                </c:pt>
                <c:pt idx="10">
                  <c:v>4.3171008224780578E-3</c:v>
                </c:pt>
                <c:pt idx="11">
                  <c:v>3.5409609391847735E-3</c:v>
                </c:pt>
                <c:pt idx="12">
                  <c:v>2.6238509212908501E-3</c:v>
                </c:pt>
                <c:pt idx="13">
                  <c:v>2.5223353579896827E-3</c:v>
                </c:pt>
                <c:pt idx="14">
                  <c:v>1.8979563914116356E-3</c:v>
                </c:pt>
              </c:numCache>
            </c:numRef>
          </c:xVal>
          <c:yVal>
            <c:numRef>
              <c:f>'21st of month'!$AV$42:$AV$56</c:f>
              <c:numCache>
                <c:formatCode>0.000</c:formatCode>
                <c:ptCount val="15"/>
                <c:pt idx="0">
                  <c:v>0.12172321659041008</c:v>
                </c:pt>
                <c:pt idx="1">
                  <c:v>0.10903786505662305</c:v>
                </c:pt>
                <c:pt idx="2">
                  <c:v>0.12744024829527689</c:v>
                </c:pt>
                <c:pt idx="3">
                  <c:v>0.12317646593921727</c:v>
                </c:pt>
                <c:pt idx="4">
                  <c:v>8.5713445924561982E-2</c:v>
                </c:pt>
                <c:pt idx="5">
                  <c:v>0.10602188702559634</c:v>
                </c:pt>
                <c:pt idx="6">
                  <c:v>0.16234731988355122</c:v>
                </c:pt>
                <c:pt idx="7">
                  <c:v>0.1436196227020774</c:v>
                </c:pt>
                <c:pt idx="8">
                  <c:v>0.13209633317494696</c:v>
                </c:pt>
                <c:pt idx="9">
                  <c:v>0.1470330499363095</c:v>
                </c:pt>
                <c:pt idx="10">
                  <c:v>0.15484136182220537</c:v>
                </c:pt>
                <c:pt idx="11">
                  <c:v>0.12700356941580149</c:v>
                </c:pt>
                <c:pt idx="12">
                  <c:v>0.10947443758625863</c:v>
                </c:pt>
                <c:pt idx="13">
                  <c:v>0.10743140042658139</c:v>
                </c:pt>
                <c:pt idx="14">
                  <c:v>9.463940897063261E-2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25F2-4354-A76A-9A86CD6D3858}"/>
            </c:ext>
          </c:extLst>
        </c:ser>
        <c:ser>
          <c:idx val="26"/>
          <c:order val="26"/>
          <c:tx>
            <c:v>Rem 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month'!$AZ$68:$AZ$82</c:f>
              <c:numCache>
                <c:formatCode>0.000000</c:formatCode>
                <c:ptCount val="15"/>
                <c:pt idx="0">
                  <c:v>3.5709862846092493E-3</c:v>
                </c:pt>
                <c:pt idx="1">
                  <c:v>2.8117241937386742E-3</c:v>
                </c:pt>
                <c:pt idx="2">
                  <c:v>3.2125130989106511E-3</c:v>
                </c:pt>
                <c:pt idx="3">
                  <c:v>3.5665176359684337E-3</c:v>
                </c:pt>
                <c:pt idx="4">
                  <c:v>4.7147302155912648E-3</c:v>
                </c:pt>
                <c:pt idx="5">
                  <c:v>4.4563706264981566E-3</c:v>
                </c:pt>
                <c:pt idx="6">
                  <c:v>5.7657625543470386E-3</c:v>
                </c:pt>
                <c:pt idx="7">
                  <c:v>3.9389199251843969E-3</c:v>
                </c:pt>
                <c:pt idx="8">
                  <c:v>3.7768403163388263E-3</c:v>
                </c:pt>
                <c:pt idx="9">
                  <c:v>4.3477031670517592E-3</c:v>
                </c:pt>
                <c:pt idx="10">
                  <c:v>3.6116821964545442E-3</c:v>
                </c:pt>
                <c:pt idx="11">
                  <c:v>2.8012682267794472E-3</c:v>
                </c:pt>
                <c:pt idx="12">
                  <c:v>2.1535916576060996E-3</c:v>
                </c:pt>
                <c:pt idx="13">
                  <c:v>1.9724760162871308E-3</c:v>
                </c:pt>
                <c:pt idx="14">
                  <c:v>2.1617848571104689E-3</c:v>
                </c:pt>
              </c:numCache>
            </c:numRef>
          </c:xVal>
          <c:yVal>
            <c:numRef>
              <c:f>'21st of month'!$AV$68:$AV$82</c:f>
              <c:numCache>
                <c:formatCode>0.000</c:formatCode>
                <c:ptCount val="15"/>
                <c:pt idx="0">
                  <c:v>0.13774693974245289</c:v>
                </c:pt>
                <c:pt idx="1">
                  <c:v>0.11271252740948057</c:v>
                </c:pt>
                <c:pt idx="2">
                  <c:v>0.12391922370710184</c:v>
                </c:pt>
                <c:pt idx="3">
                  <c:v>0.13020450038703146</c:v>
                </c:pt>
                <c:pt idx="4">
                  <c:v>0.1438638540279143</c:v>
                </c:pt>
                <c:pt idx="5">
                  <c:v>0.14694650460686909</c:v>
                </c:pt>
                <c:pt idx="6">
                  <c:v>0.15929226225711379</c:v>
                </c:pt>
                <c:pt idx="7">
                  <c:v>0.13201307997144485</c:v>
                </c:pt>
                <c:pt idx="8">
                  <c:v>0.12869065743747543</c:v>
                </c:pt>
                <c:pt idx="9">
                  <c:v>0.13888315001292667</c:v>
                </c:pt>
                <c:pt idx="10">
                  <c:v>0.14478014218774776</c:v>
                </c:pt>
                <c:pt idx="11">
                  <c:v>0.11453925066519566</c:v>
                </c:pt>
                <c:pt idx="12">
                  <c:v>0.10006456927052243</c:v>
                </c:pt>
                <c:pt idx="13">
                  <c:v>9.6013452687846113E-2</c:v>
                </c:pt>
                <c:pt idx="14">
                  <c:v>0.10044525842134477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25F2-4354-A76A-9A86CD6D3858}"/>
            </c:ext>
          </c:extLst>
        </c:ser>
        <c:ser>
          <c:idx val="27"/>
          <c:order val="27"/>
          <c:tx>
            <c:v>Rem 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month'!$AZ$95:$AZ$109</c:f>
              <c:numCache>
                <c:formatCode>0.000000</c:formatCode>
                <c:ptCount val="15"/>
                <c:pt idx="0">
                  <c:v>4.148332079994644E-3</c:v>
                </c:pt>
                <c:pt idx="1">
                  <c:v>4.9720505719963821E-3</c:v>
                </c:pt>
                <c:pt idx="2">
                  <c:v>3.7627464763674325E-3</c:v>
                </c:pt>
                <c:pt idx="3">
                  <c:v>3.7915402131165009E-3</c:v>
                </c:pt>
                <c:pt idx="4">
                  <c:v>4.2303500779020779E-3</c:v>
                </c:pt>
                <c:pt idx="5">
                  <c:v>3.4145504533069906E-3</c:v>
                </c:pt>
                <c:pt idx="6">
                  <c:v>5.3702642464293123E-3</c:v>
                </c:pt>
                <c:pt idx="7">
                  <c:v>4.2904411484120308E-3</c:v>
                </c:pt>
                <c:pt idx="8">
                  <c:v>4.2404285397409465E-3</c:v>
                </c:pt>
                <c:pt idx="9">
                  <c:v>4.110640330454671E-3</c:v>
                </c:pt>
                <c:pt idx="10">
                  <c:v>2.9558098631817672E-3</c:v>
                </c:pt>
                <c:pt idx="11">
                  <c:v>3.6522169663778551E-3</c:v>
                </c:pt>
                <c:pt idx="12">
                  <c:v>1.9764164174106789E-3</c:v>
                </c:pt>
                <c:pt idx="13">
                  <c:v>2.2403780966593922E-3</c:v>
                </c:pt>
                <c:pt idx="14">
                  <c:v>1.8132477735314813E-3</c:v>
                </c:pt>
              </c:numCache>
            </c:numRef>
          </c:xVal>
          <c:yVal>
            <c:numRef>
              <c:f>'21st of month'!$AV$95:$AV$109</c:f>
              <c:numCache>
                <c:formatCode>0.000</c:formatCode>
                <c:ptCount val="15"/>
                <c:pt idx="0">
                  <c:v>0.1462228242793161</c:v>
                </c:pt>
                <c:pt idx="1">
                  <c:v>0.14521355040490208</c:v>
                </c:pt>
                <c:pt idx="2">
                  <c:v>0.13263147843800427</c:v>
                </c:pt>
                <c:pt idx="3">
                  <c:v>0.13364641683440415</c:v>
                </c:pt>
                <c:pt idx="4">
                  <c:v>0.13727941048166387</c:v>
                </c:pt>
                <c:pt idx="5">
                  <c:v>0.13171259647968936</c:v>
                </c:pt>
                <c:pt idx="6">
                  <c:v>0.15463469914730604</c:v>
                </c:pt>
                <c:pt idx="7">
                  <c:v>0.13705397050843504</c:v>
                </c:pt>
                <c:pt idx="8">
                  <c:v>0.13545636635614555</c:v>
                </c:pt>
                <c:pt idx="9">
                  <c:v>0.13554622783495923</c:v>
                </c:pt>
                <c:pt idx="10">
                  <c:v>0.1342868933439656</c:v>
                </c:pt>
                <c:pt idx="11">
                  <c:v>0.12873546992055074</c:v>
                </c:pt>
                <c:pt idx="12">
                  <c:v>9.6205258070382049E-2</c:v>
                </c:pt>
                <c:pt idx="13">
                  <c:v>0.10178375079661051</c:v>
                </c:pt>
                <c:pt idx="14">
                  <c:v>9.2675899109367132E-2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25F2-4354-A76A-9A86CD6D3858}"/>
            </c:ext>
          </c:extLst>
        </c:ser>
        <c:ser>
          <c:idx val="28"/>
          <c:order val="28"/>
          <c:tx>
            <c:v>Rem Jul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month'!$AZ$122:$AZ$136</c:f>
              <c:numCache>
                <c:formatCode>0.000000</c:formatCode>
                <c:ptCount val="15"/>
                <c:pt idx="0">
                  <c:v>5.0111506555494036E-3</c:v>
                </c:pt>
                <c:pt idx="1">
                  <c:v>3.662509229942431E-3</c:v>
                </c:pt>
                <c:pt idx="2">
                  <c:v>4.1091182572092419E-3</c:v>
                </c:pt>
                <c:pt idx="3">
                  <c:v>4.2575630701403092E-3</c:v>
                </c:pt>
                <c:pt idx="4">
                  <c:v>3.8805286097540951E-3</c:v>
                </c:pt>
                <c:pt idx="5">
                  <c:v>4.7021954667720552E-3</c:v>
                </c:pt>
                <c:pt idx="6">
                  <c:v>6.0351639032224661E-3</c:v>
                </c:pt>
                <c:pt idx="7">
                  <c:v>4.054793633494696E-3</c:v>
                </c:pt>
                <c:pt idx="8">
                  <c:v>3.8907677831853294E-3</c:v>
                </c:pt>
                <c:pt idx="9">
                  <c:v>4.2285284733418159E-3</c:v>
                </c:pt>
                <c:pt idx="10">
                  <c:v>4.076646176836075E-3</c:v>
                </c:pt>
                <c:pt idx="11">
                  <c:v>2.2244425528501794E-3</c:v>
                </c:pt>
                <c:pt idx="12">
                  <c:v>2.4311467796346679E-3</c:v>
                </c:pt>
                <c:pt idx="13">
                  <c:v>2.2403780966593922E-3</c:v>
                </c:pt>
                <c:pt idx="14">
                  <c:v>1.8132477735314813E-3</c:v>
                </c:pt>
              </c:numCache>
            </c:numRef>
          </c:xVal>
          <c:yVal>
            <c:numRef>
              <c:f>'21st of month'!$AV$122:$AV$136</c:f>
              <c:numCache>
                <c:formatCode>0.000</c:formatCode>
                <c:ptCount val="15"/>
                <c:pt idx="0">
                  <c:v>0.15761362205929697</c:v>
                </c:pt>
                <c:pt idx="1">
                  <c:v>0.12691015155740859</c:v>
                </c:pt>
                <c:pt idx="2">
                  <c:v>0.13771728478986361</c:v>
                </c:pt>
                <c:pt idx="3">
                  <c:v>0.14039092879310977</c:v>
                </c:pt>
                <c:pt idx="4">
                  <c:v>0.13222369392579481</c:v>
                </c:pt>
                <c:pt idx="5">
                  <c:v>0.15020706182309446</c:v>
                </c:pt>
                <c:pt idx="6">
                  <c:v>0.16234731988355122</c:v>
                </c:pt>
                <c:pt idx="7">
                  <c:v>0.13370471203658496</c:v>
                </c:pt>
                <c:pt idx="8">
                  <c:v>0.13039925874804903</c:v>
                </c:pt>
                <c:pt idx="9">
                  <c:v>0.13722029745424097</c:v>
                </c:pt>
                <c:pt idx="10">
                  <c:v>0.15153396134785191</c:v>
                </c:pt>
                <c:pt idx="11">
                  <c:v>0.10335658811262294</c:v>
                </c:pt>
                <c:pt idx="12">
                  <c:v>0.10575063129212126</c:v>
                </c:pt>
                <c:pt idx="13">
                  <c:v>0.10178375079661051</c:v>
                </c:pt>
                <c:pt idx="14">
                  <c:v>9.2675899109367132E-2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25F2-4354-A76A-9A86CD6D3858}"/>
            </c:ext>
          </c:extLst>
        </c:ser>
        <c:ser>
          <c:idx val="29"/>
          <c:order val="29"/>
          <c:tx>
            <c:v>Rem Aug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month'!$AZ$149:$AZ$163</c:f>
              <c:numCache>
                <c:formatCode>0.000000</c:formatCode>
                <c:ptCount val="15"/>
                <c:pt idx="0">
                  <c:v>4.2677761240578664E-3</c:v>
                </c:pt>
                <c:pt idx="1">
                  <c:v>3.3329547376124446E-3</c:v>
                </c:pt>
                <c:pt idx="2">
                  <c:v>3.8768787246361396E-3</c:v>
                </c:pt>
                <c:pt idx="3">
                  <c:v>3.6783517755676902E-3</c:v>
                </c:pt>
                <c:pt idx="4">
                  <c:v>4.470018421134596E-3</c:v>
                </c:pt>
                <c:pt idx="5">
                  <c:v>3.8642610993144446E-3</c:v>
                </c:pt>
                <c:pt idx="6">
                  <c:v>5.6327714452813179E-3</c:v>
                </c:pt>
                <c:pt idx="7">
                  <c:v>4.1719717409630999E-3</c:v>
                </c:pt>
                <c:pt idx="8">
                  <c:v>4.0060171598081682E-3</c:v>
                </c:pt>
                <c:pt idx="9">
                  <c:v>4.110640330454671E-3</c:v>
                </c:pt>
                <c:pt idx="10">
                  <c:v>3.1687333747760756E-3</c:v>
                </c:pt>
                <c:pt idx="11">
                  <c:v>2.5060213844886117E-3</c:v>
                </c:pt>
                <c:pt idx="12">
                  <c:v>3.0270849671580032E-3</c:v>
                </c:pt>
                <c:pt idx="13">
                  <c:v>2.5223353579896827E-3</c:v>
                </c:pt>
                <c:pt idx="14">
                  <c:v>1.5690747642713488E-3</c:v>
                </c:pt>
              </c:numCache>
            </c:numRef>
          </c:xVal>
          <c:yVal>
            <c:numRef>
              <c:f>'21st of month'!$AV$149:$AV$163</c:f>
              <c:numCache>
                <c:formatCode>0.000</c:formatCode>
                <c:ptCount val="15"/>
                <c:pt idx="0">
                  <c:v>0.14788334464505559</c:v>
                </c:pt>
                <c:pt idx="1">
                  <c:v>0.12167771218817514</c:v>
                </c:pt>
                <c:pt idx="2">
                  <c:v>0.13433830077228204</c:v>
                </c:pt>
                <c:pt idx="3">
                  <c:v>0.13193136357262436</c:v>
                </c:pt>
                <c:pt idx="4">
                  <c:v>0.14059361660711456</c:v>
                </c:pt>
                <c:pt idx="5">
                  <c:v>0.13859936926628547</c:v>
                </c:pt>
                <c:pt idx="6">
                  <c:v>0.15774983590116731</c:v>
                </c:pt>
                <c:pt idx="7">
                  <c:v>0.13538497065226396</c:v>
                </c:pt>
                <c:pt idx="8">
                  <c:v>0.13209633317494696</c:v>
                </c:pt>
                <c:pt idx="9">
                  <c:v>0.13554622783495923</c:v>
                </c:pt>
                <c:pt idx="10">
                  <c:v>0.13783435767269436</c:v>
                </c:pt>
                <c:pt idx="11">
                  <c:v>0.10900754559996184</c:v>
                </c:pt>
                <c:pt idx="12">
                  <c:v>0.11676653376226143</c:v>
                </c:pt>
                <c:pt idx="13">
                  <c:v>0.10743140042658139</c:v>
                </c:pt>
                <c:pt idx="14">
                  <c:v>8.6698495297170997E-2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25F2-4354-A76A-9A86CD6D3858}"/>
            </c:ext>
          </c:extLst>
        </c:ser>
        <c:ser>
          <c:idx val="30"/>
          <c:order val="30"/>
          <c:tx>
            <c:v>Rem Sep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month'!$AZ$176:$AZ$190</c:f>
              <c:numCache>
                <c:formatCode>0.000000</c:formatCode>
                <c:ptCount val="15"/>
                <c:pt idx="0">
                  <c:v>3.4595890605181173E-3</c:v>
                </c:pt>
                <c:pt idx="1">
                  <c:v>3.8889819699350799E-3</c:v>
                </c:pt>
                <c:pt idx="2">
                  <c:v>3.0022197295776305E-3</c:v>
                </c:pt>
                <c:pt idx="3">
                  <c:v>3.3469685481485696E-3</c:v>
                </c:pt>
                <c:pt idx="4">
                  <c:v>3.4327307138839833E-3</c:v>
                </c:pt>
                <c:pt idx="5">
                  <c:v>3.0918436048489074E-3</c:v>
                </c:pt>
                <c:pt idx="6">
                  <c:v>4.9853631038431325E-3</c:v>
                </c:pt>
                <c:pt idx="7">
                  <c:v>4.054793633494696E-3</c:v>
                </c:pt>
                <c:pt idx="8">
                  <c:v>4.3595644360756424E-3</c:v>
                </c:pt>
                <c:pt idx="9">
                  <c:v>4.110640330454671E-3</c:v>
                </c:pt>
                <c:pt idx="10">
                  <c:v>3.1687333747760756E-3</c:v>
                </c:pt>
                <c:pt idx="11">
                  <c:v>2.4106214513986489E-3</c:v>
                </c:pt>
                <c:pt idx="12">
                  <c:v>3.4532715697777588E-3</c:v>
                </c:pt>
                <c:pt idx="13">
                  <c:v>2.8179047450555511E-3</c:v>
                </c:pt>
                <c:pt idx="14">
                  <c:v>2.2529040161012766E-3</c:v>
                </c:pt>
              </c:numCache>
            </c:numRef>
          </c:xVal>
          <c:yVal>
            <c:numRef>
              <c:f>'21st of month'!$AV$176:$AV$190</c:f>
              <c:numCache>
                <c:formatCode>0.000</c:formatCode>
                <c:ptCount val="15"/>
                <c:pt idx="0">
                  <c:v>0.13601625658099442</c:v>
                </c:pt>
                <c:pt idx="1">
                  <c:v>0.13033940713595815</c:v>
                </c:pt>
                <c:pt idx="2">
                  <c:v>0.12034885011582763</c:v>
                </c:pt>
                <c:pt idx="3">
                  <c:v>0.1267148512181987</c:v>
                </c:pt>
                <c:pt idx="4">
                  <c:v>0.12532027966353165</c:v>
                </c:pt>
                <c:pt idx="5">
                  <c:v>0.12642039997737553</c:v>
                </c:pt>
                <c:pt idx="6">
                  <c:v>0.14988477801435024</c:v>
                </c:pt>
                <c:pt idx="7">
                  <c:v>0.13370471203658496</c:v>
                </c:pt>
                <c:pt idx="8">
                  <c:v>0.13711955369169487</c:v>
                </c:pt>
                <c:pt idx="9">
                  <c:v>0.13554622783495923</c:v>
                </c:pt>
                <c:pt idx="10">
                  <c:v>0.13783435767269436</c:v>
                </c:pt>
                <c:pt idx="11">
                  <c:v>0.10713733315235396</c:v>
                </c:pt>
                <c:pt idx="12">
                  <c:v>0.12385841669997522</c:v>
                </c:pt>
                <c:pt idx="13">
                  <c:v>0.11296028483933818</c:v>
                </c:pt>
                <c:pt idx="14">
                  <c:v>0.10235282218008468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25F2-4354-A76A-9A86CD6D3858}"/>
            </c:ext>
          </c:extLst>
        </c:ser>
        <c:ser>
          <c:idx val="31"/>
          <c:order val="31"/>
          <c:tx>
            <c:v>Rem Oct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month'!$AZ$203:$AZ$217</c:f>
              <c:numCache>
                <c:formatCode>0.000000</c:formatCode>
                <c:ptCount val="15"/>
                <c:pt idx="0">
                  <c:v>2.9237577474742278E-3</c:v>
                </c:pt>
                <c:pt idx="1">
                  <c:v>3.015924672082631E-3</c:v>
                </c:pt>
                <c:pt idx="2">
                  <c:v>3.0022197295776305E-3</c:v>
                </c:pt>
                <c:pt idx="3">
                  <c:v>1.6373589633104481E-3</c:v>
                </c:pt>
                <c:pt idx="4">
                  <c:v>2.5074576129434289E-3</c:v>
                </c:pt>
                <c:pt idx="5">
                  <c:v>2.5829544151263878E-3</c:v>
                </c:pt>
                <c:pt idx="6">
                  <c:v>4.6113772106342599E-3</c:v>
                </c:pt>
                <c:pt idx="7">
                  <c:v>4.2904411484120308E-3</c:v>
                </c:pt>
                <c:pt idx="8">
                  <c:v>4.1225751258117957E-3</c:v>
                </c:pt>
                <c:pt idx="9">
                  <c:v>4.3477031670517592E-3</c:v>
                </c:pt>
                <c:pt idx="10">
                  <c:v>4.5627258100598847E-3</c:v>
                </c:pt>
                <c:pt idx="11">
                  <c:v>3.322565797005868E-3</c:v>
                </c:pt>
                <c:pt idx="12">
                  <c:v>3.0270849671580032E-3</c:v>
                </c:pt>
                <c:pt idx="13">
                  <c:v>2.1494932851785263E-3</c:v>
                </c:pt>
                <c:pt idx="14">
                  <c:v>2.7315686984394484E-3</c:v>
                </c:pt>
              </c:numCache>
            </c:numRef>
          </c:xVal>
          <c:yVal>
            <c:numRef>
              <c:f>'21st of month'!$AV$203:$AV$217</c:f>
              <c:numCache>
                <c:formatCode>0.000</c:formatCode>
                <c:ptCount val="15"/>
                <c:pt idx="0">
                  <c:v>0.12717834650324666</c:v>
                </c:pt>
                <c:pt idx="1">
                  <c:v>0.11633603743135112</c:v>
                </c:pt>
                <c:pt idx="2">
                  <c:v>0.12034885011582763</c:v>
                </c:pt>
                <c:pt idx="3">
                  <c:v>9.2984604325653364E-2</c:v>
                </c:pt>
                <c:pt idx="4">
                  <c:v>0.10907001902486935</c:v>
                </c:pt>
                <c:pt idx="5">
                  <c:v>0.11734750884247669</c:v>
                </c:pt>
                <c:pt idx="6">
                  <c:v>0.14503971538849653</c:v>
                </c:pt>
                <c:pt idx="7">
                  <c:v>0.13705397050843504</c:v>
                </c:pt>
                <c:pt idx="8">
                  <c:v>0.13378199735622798</c:v>
                </c:pt>
                <c:pt idx="9">
                  <c:v>0.13888315001292667</c:v>
                </c:pt>
                <c:pt idx="10">
                  <c:v>0.15810369004276936</c:v>
                </c:pt>
                <c:pt idx="11">
                  <c:v>0.12350386450509643</c:v>
                </c:pt>
                <c:pt idx="12">
                  <c:v>0.11676653376226143</c:v>
                </c:pt>
                <c:pt idx="13">
                  <c:v>9.9874142329450799E-2</c:v>
                </c:pt>
                <c:pt idx="14">
                  <c:v>0.11168935158325044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25F2-4354-A76A-9A86CD6D3858}"/>
            </c:ext>
          </c:extLst>
        </c:ser>
        <c:ser>
          <c:idx val="32"/>
          <c:order val="32"/>
          <c:tx>
            <c:v>Rem Nov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month'!$AZ$230:$AZ$244</c:f>
              <c:numCache>
                <c:formatCode>0.000000</c:formatCode>
                <c:ptCount val="15"/>
                <c:pt idx="0">
                  <c:v>1.3885892262295685E-3</c:v>
                </c:pt>
                <c:pt idx="1">
                  <c:v>1.7968687891344616E-3</c:v>
                </c:pt>
                <c:pt idx="2">
                  <c:v>2.5020339722388769E-3</c:v>
                </c:pt>
                <c:pt idx="3">
                  <c:v>1.1844943041191423E-3</c:v>
                </c:pt>
                <c:pt idx="4">
                  <c:v>2.045843023801779E-3</c:v>
                </c:pt>
                <c:pt idx="5">
                  <c:v>1.8484519581715355E-3</c:v>
                </c:pt>
                <c:pt idx="6">
                  <c:v>4.6113772106342599E-3</c:v>
                </c:pt>
                <c:pt idx="7">
                  <c:v>4.054793633494696E-3</c:v>
                </c:pt>
                <c:pt idx="8">
                  <c:v>4.2404285397409465E-3</c:v>
                </c:pt>
                <c:pt idx="9">
                  <c:v>4.4681515355227417E-3</c:v>
                </c:pt>
                <c:pt idx="10">
                  <c:v>5.1987271264549309E-3</c:v>
                </c:pt>
                <c:pt idx="11">
                  <c:v>3.6522169663778551E-3</c:v>
                </c:pt>
                <c:pt idx="12">
                  <c:v>2.6238509212908501E-3</c:v>
                </c:pt>
                <c:pt idx="13">
                  <c:v>2.5223353579896827E-3</c:v>
                </c:pt>
                <c:pt idx="14">
                  <c:v>2.5355543722475559E-3</c:v>
                </c:pt>
              </c:numCache>
            </c:numRef>
          </c:xVal>
          <c:yVal>
            <c:numRef>
              <c:f>'21st of month'!$AV$230:$AV$244</c:f>
              <c:numCache>
                <c:formatCode>0.000</c:formatCode>
                <c:ptCount val="15"/>
                <c:pt idx="0">
                  <c:v>9.4628549510562432E-2</c:v>
                </c:pt>
                <c:pt idx="1">
                  <c:v>9.1838761941656299E-2</c:v>
                </c:pt>
                <c:pt idx="2">
                  <c:v>0.11120005884239281</c:v>
                </c:pt>
                <c:pt idx="3">
                  <c:v>8.0720040012601024E-2</c:v>
                </c:pt>
                <c:pt idx="4">
                  <c:v>9.9584710156474854E-2</c:v>
                </c:pt>
                <c:pt idx="5">
                  <c:v>0.10213535202511681</c:v>
                </c:pt>
                <c:pt idx="6">
                  <c:v>0.14503971538849653</c:v>
                </c:pt>
                <c:pt idx="7">
                  <c:v>0.13370471203658496</c:v>
                </c:pt>
                <c:pt idx="8">
                  <c:v>0.13545636635614555</c:v>
                </c:pt>
                <c:pt idx="9">
                  <c:v>0.14053489823612947</c:v>
                </c:pt>
                <c:pt idx="10">
                  <c:v>0.16606828286976194</c:v>
                </c:pt>
                <c:pt idx="11">
                  <c:v>0.12873546992055074</c:v>
                </c:pt>
                <c:pt idx="12">
                  <c:v>0.10947443758625863</c:v>
                </c:pt>
                <c:pt idx="13">
                  <c:v>0.10743140042658139</c:v>
                </c:pt>
                <c:pt idx="14">
                  <c:v>0.1079944251685071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25F2-4354-A76A-9A86CD6D3858}"/>
            </c:ext>
          </c:extLst>
        </c:ser>
        <c:ser>
          <c:idx val="33"/>
          <c:order val="33"/>
          <c:tx>
            <c:v>Rem Dec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month'!$AZ$257:$AZ$271</c:f>
              <c:numCache>
                <c:formatCode>0.000000</c:formatCode>
                <c:ptCount val="15"/>
                <c:pt idx="0">
                  <c:v>1.0981831973988158E-3</c:v>
                </c:pt>
                <c:pt idx="1">
                  <c:v>1.7141578747030249E-3</c:v>
                </c:pt>
                <c:pt idx="2">
                  <c:v>2.2200720791189965E-3</c:v>
                </c:pt>
                <c:pt idx="3">
                  <c:v>4.3352890629638481E-4</c:v>
                </c:pt>
                <c:pt idx="4">
                  <c:v>1.3915320221118967E-3</c:v>
                </c:pt>
                <c:pt idx="5">
                  <c:v>1.0804390556322842E-3</c:v>
                </c:pt>
                <c:pt idx="6">
                  <c:v>4.0132285849410034E-3</c:v>
                </c:pt>
                <c:pt idx="7">
                  <c:v>4.6534687917899305E-3</c:v>
                </c:pt>
                <c:pt idx="8">
                  <c:v>4.1225751258117957E-3</c:v>
                </c:pt>
                <c:pt idx="9">
                  <c:v>4.4681515355227417E-3</c:v>
                </c:pt>
                <c:pt idx="10">
                  <c:v>5.1987271264549309E-3</c:v>
                </c:pt>
                <c:pt idx="11">
                  <c:v>3.6522169663778551E-3</c:v>
                </c:pt>
                <c:pt idx="12">
                  <c:v>2.7224547038040012E-3</c:v>
                </c:pt>
                <c:pt idx="13">
                  <c:v>2.5223353579896827E-3</c:v>
                </c:pt>
                <c:pt idx="14">
                  <c:v>3.2472208339744593E-3</c:v>
                </c:pt>
              </c:numCache>
            </c:numRef>
          </c:xVal>
          <c:yVal>
            <c:numRef>
              <c:f>'21st of month'!$AV$257:$AV$271</c:f>
              <c:numCache>
                <c:formatCode>0.000</c:formatCode>
                <c:ptCount val="15"/>
                <c:pt idx="0">
                  <c:v>8.6351740011551548E-2</c:v>
                </c:pt>
                <c:pt idx="1">
                  <c:v>8.985781576074281E-2</c:v>
                </c:pt>
                <c:pt idx="2">
                  <c:v>0.10555243727462105</c:v>
                </c:pt>
                <c:pt idx="3">
                  <c:v>5.2136129328630987E-2</c:v>
                </c:pt>
                <c:pt idx="4">
                  <c:v>8.3672729103049237E-2</c:v>
                </c:pt>
                <c:pt idx="5">
                  <c:v>8.1809955615214092E-2</c:v>
                </c:pt>
                <c:pt idx="6">
                  <c:v>0.13674526370857398</c:v>
                </c:pt>
                <c:pt idx="7">
                  <c:v>0.14199454144197832</c:v>
                </c:pt>
                <c:pt idx="8">
                  <c:v>0.13378199735622798</c:v>
                </c:pt>
                <c:pt idx="9">
                  <c:v>0.14053489823612947</c:v>
                </c:pt>
                <c:pt idx="10">
                  <c:v>0.16606828286976194</c:v>
                </c:pt>
                <c:pt idx="11">
                  <c:v>0.12873546992055074</c:v>
                </c:pt>
                <c:pt idx="12">
                  <c:v>0.11131669533200994</c:v>
                </c:pt>
                <c:pt idx="13">
                  <c:v>0.10743140042658139</c:v>
                </c:pt>
                <c:pt idx="14">
                  <c:v>0.12070319939448881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25F2-4354-A76A-9A86CD6D3858}"/>
            </c:ext>
          </c:extLst>
        </c:ser>
        <c:ser>
          <c:idx val="34"/>
          <c:order val="34"/>
          <c:tx>
            <c:v>Rem 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month'!$AZ$284:$AZ$298</c:f>
              <c:numCache>
                <c:formatCode>0.000000</c:formatCode>
                <c:ptCount val="15"/>
                <c:pt idx="0">
                  <c:v>1.3885892262295685E-3</c:v>
                </c:pt>
                <c:pt idx="1">
                  <c:v>2.2348075417214005E-3</c:v>
                </c:pt>
                <c:pt idx="2">
                  <c:v>1.7818279286627276E-3</c:v>
                </c:pt>
                <c:pt idx="3">
                  <c:v>7.3899926352104228E-4</c:v>
                </c:pt>
                <c:pt idx="4">
                  <c:v>3.0658499012335699E-4</c:v>
                </c:pt>
                <c:pt idx="5">
                  <c:v>4.9780357229320415E-4</c:v>
                </c:pt>
                <c:pt idx="6">
                  <c:v>2.5188476188468143E-3</c:v>
                </c:pt>
                <c:pt idx="7">
                  <c:v>4.054793633494696E-3</c:v>
                </c:pt>
                <c:pt idx="8">
                  <c:v>4.4799700222867772E-3</c:v>
                </c:pt>
                <c:pt idx="9">
                  <c:v>4.5898608744811605E-3</c:v>
                </c:pt>
                <c:pt idx="10">
                  <c:v>3.8414696872509022E-3</c:v>
                </c:pt>
                <c:pt idx="11">
                  <c:v>3.6522169663778551E-3</c:v>
                </c:pt>
                <c:pt idx="12">
                  <c:v>3.7874117713040654E-3</c:v>
                </c:pt>
                <c:pt idx="13">
                  <c:v>3.2324404099788842E-3</c:v>
                </c:pt>
                <c:pt idx="14">
                  <c:v>2.4398052793988584E-3</c:v>
                </c:pt>
              </c:numCache>
            </c:numRef>
          </c:xVal>
          <c:yVal>
            <c:numRef>
              <c:f>'21st of month'!$AV$284:$AV$298</c:f>
              <c:numCache>
                <c:formatCode>0.000</c:formatCode>
                <c:ptCount val="15"/>
                <c:pt idx="0">
                  <c:v>9.4628549510562432E-2</c:v>
                </c:pt>
                <c:pt idx="1">
                  <c:v>0.10153067209687994</c:v>
                </c:pt>
                <c:pt idx="2">
                  <c:v>9.5863175665401701E-2</c:v>
                </c:pt>
                <c:pt idx="3">
                  <c:v>6.5687966270490894E-2</c:v>
                </c:pt>
                <c:pt idx="4">
                  <c:v>4.1785853395764461E-2</c:v>
                </c:pt>
                <c:pt idx="5">
                  <c:v>5.9865792219146008E-2</c:v>
                </c:pt>
                <c:pt idx="6">
                  <c:v>0.11194732227402593</c:v>
                </c:pt>
                <c:pt idx="7">
                  <c:v>0.13370471203658496</c:v>
                </c:pt>
                <c:pt idx="8">
                  <c:v>0.13877167135862312</c:v>
                </c:pt>
                <c:pt idx="9">
                  <c:v>0.14217565333845206</c:v>
                </c:pt>
                <c:pt idx="10">
                  <c:v>0.14818054491354926</c:v>
                </c:pt>
                <c:pt idx="11">
                  <c:v>0.12873546992055074</c:v>
                </c:pt>
                <c:pt idx="12">
                  <c:v>0.12905086527672716</c:v>
                </c:pt>
                <c:pt idx="13">
                  <c:v>0.12015379282318106</c:v>
                </c:pt>
                <c:pt idx="14">
                  <c:v>0.10612726088264046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25F2-4354-A76A-9A86CD6D3858}"/>
            </c:ext>
          </c:extLst>
        </c:ser>
        <c:ser>
          <c:idx val="35"/>
          <c:order val="35"/>
          <c:tx>
            <c:v>Rem 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month'!$AZ$311:$AZ$325</c:f>
              <c:numCache>
                <c:formatCode>0.000000</c:formatCode>
                <c:ptCount val="15"/>
                <c:pt idx="0">
                  <c:v>1.1680622529934286E-3</c:v>
                </c:pt>
                <c:pt idx="1">
                  <c:v>1.7968687891344616E-3</c:v>
                </c:pt>
                <c:pt idx="2">
                  <c:v>2.7977040508750527E-3</c:v>
                </c:pt>
                <c:pt idx="3">
                  <c:v>5.2717783203637446E-4</c:v>
                </c:pt>
                <c:pt idx="4">
                  <c:v>1.7879661124818361E-3</c:v>
                </c:pt>
                <c:pt idx="5">
                  <c:v>1.2923358299410338E-3</c:v>
                </c:pt>
                <c:pt idx="6">
                  <c:v>4.6113772106342599E-3</c:v>
                </c:pt>
                <c:pt idx="7">
                  <c:v>4.6534687917899305E-3</c:v>
                </c:pt>
                <c:pt idx="8">
                  <c:v>4.2404285397409465E-3</c:v>
                </c:pt>
                <c:pt idx="9">
                  <c:v>4.9624301886020327E-3</c:v>
                </c:pt>
                <c:pt idx="10">
                  <c:v>3.6116821964545442E-3</c:v>
                </c:pt>
                <c:pt idx="11">
                  <c:v>3.9940517891639427E-3</c:v>
                </c:pt>
                <c:pt idx="12">
                  <c:v>2.6238509212908501E-3</c:v>
                </c:pt>
                <c:pt idx="13">
                  <c:v>2.9193788957251128E-3</c:v>
                </c:pt>
                <c:pt idx="14">
                  <c:v>2.0722424188952399E-3</c:v>
                </c:pt>
              </c:numCache>
            </c:numRef>
          </c:xVal>
          <c:yVal>
            <c:numRef>
              <c:f>'21st of month'!$AV$311:$AV$325</c:f>
              <c:numCache>
                <c:formatCode>0.000</c:formatCode>
                <c:ptCount val="15"/>
                <c:pt idx="0">
                  <c:v>8.8444711966911616E-2</c:v>
                </c:pt>
                <c:pt idx="1">
                  <c:v>9.1838761941656299E-2</c:v>
                </c:pt>
                <c:pt idx="2">
                  <c:v>0.11672807895338255</c:v>
                </c:pt>
                <c:pt idx="3">
                  <c:v>5.6724827696843727E-2</c:v>
                </c:pt>
                <c:pt idx="4">
                  <c:v>9.3726915060072247E-2</c:v>
                </c:pt>
                <c:pt idx="5">
                  <c:v>8.806914439334057E-2</c:v>
                </c:pt>
                <c:pt idx="6">
                  <c:v>0.14503971538849653</c:v>
                </c:pt>
                <c:pt idx="7">
                  <c:v>0.14199454144197832</c:v>
                </c:pt>
                <c:pt idx="8">
                  <c:v>0.13545636635614555</c:v>
                </c:pt>
                <c:pt idx="9">
                  <c:v>0.1470330499363095</c:v>
                </c:pt>
                <c:pt idx="10">
                  <c:v>0.14478014218774776</c:v>
                </c:pt>
                <c:pt idx="11">
                  <c:v>0.13386082689363343</c:v>
                </c:pt>
                <c:pt idx="12">
                  <c:v>0.10947443758625863</c:v>
                </c:pt>
                <c:pt idx="13">
                  <c:v>0.114777501602638</c:v>
                </c:pt>
                <c:pt idx="14">
                  <c:v>9.8523935324229983E-2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25F2-4354-A76A-9A86CD6D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6.5000000000000023E-3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0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0"/>
        <c:crossBetween val="midCat"/>
        <c:majorUnit val="1.0000000000000002E-3"/>
      </c:valAx>
      <c:valAx>
        <c:axId val="481311920"/>
        <c:scaling>
          <c:orientation val="minMax"/>
          <c:max val="0.1800000000000000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 val="autoZero"/>
        <c:crossBetween val="midCat"/>
        <c:majorUnit val="2.0000000000000004E-2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range vs. difference in CO2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7"/>
          <c:order val="0"/>
          <c:tx>
            <c:v>Arc Apr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month'!$AZ$38:$AZ$41</c:f>
              <c:numCache>
                <c:formatCode>0.000000</c:formatCode>
                <c:ptCount val="4"/>
                <c:pt idx="0">
                  <c:v>4.5578154428892306E-4</c:v>
                </c:pt>
                <c:pt idx="1">
                  <c:v>7.1569404377207842E-4</c:v>
                </c:pt>
                <c:pt idx="2">
                  <c:v>2.3455830314812664E-3</c:v>
                </c:pt>
                <c:pt idx="3">
                  <c:v>1.0047157135333587E-3</c:v>
                </c:pt>
              </c:numCache>
            </c:numRef>
          </c:xVal>
          <c:yVal>
            <c:numRef>
              <c:f>'21st of month'!$AV$38:$AV$41</c:f>
              <c:numCache>
                <c:formatCode>0.000</c:formatCode>
                <c:ptCount val="4"/>
                <c:pt idx="0">
                  <c:v>4.9042520371772036E-2</c:v>
                </c:pt>
                <c:pt idx="1">
                  <c:v>6.0965734120840831E-2</c:v>
                </c:pt>
                <c:pt idx="2">
                  <c:v>0.10424677443010066</c:v>
                </c:pt>
                <c:pt idx="3">
                  <c:v>7.0829608815138889E-2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B7-4A5B-B83D-24A453E5419B}"/>
            </c:ext>
          </c:extLst>
        </c:ser>
        <c:ser>
          <c:idx val="8"/>
          <c:order val="1"/>
          <c:tx>
            <c:v>Arc May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month'!$AZ$64:$AZ$67</c:f>
              <c:numCache>
                <c:formatCode>0.000000</c:formatCode>
                <c:ptCount val="4"/>
                <c:pt idx="0">
                  <c:v>1.0764597943853219E-3</c:v>
                </c:pt>
                <c:pt idx="1">
                  <c:v>1.2951102542908255E-3</c:v>
                </c:pt>
                <c:pt idx="2">
                  <c:v>1.5690747642713488E-3</c:v>
                </c:pt>
                <c:pt idx="3">
                  <c:v>3.0541572982310358E-3</c:v>
                </c:pt>
              </c:numCache>
            </c:numRef>
          </c:xVal>
          <c:yVal>
            <c:numRef>
              <c:f>'21st of month'!$AV$64:$AV$67</c:f>
              <c:numCache>
                <c:formatCode>0.000</c:formatCode>
                <c:ptCount val="4"/>
                <c:pt idx="0">
                  <c:v>7.3357784307251039E-2</c:v>
                </c:pt>
                <c:pt idx="1">
                  <c:v>8.0234739825285617E-2</c:v>
                </c:pt>
                <c:pt idx="2">
                  <c:v>8.6698495297170997E-2</c:v>
                </c:pt>
                <c:pt idx="3">
                  <c:v>0.11781081969891627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B7-4A5B-B83D-24A453E5419B}"/>
            </c:ext>
          </c:extLst>
        </c:ser>
        <c:ser>
          <c:idx val="0"/>
          <c:order val="2"/>
          <c:tx>
            <c:v>Arc Mar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'21st of month'!$AZ$12:$AZ$15</c:f>
              <c:numCache>
                <c:formatCode>0.000000</c:formatCode>
                <c:ptCount val="4"/>
                <c:pt idx="0">
                  <c:v>6.8426938724925183E-5</c:v>
                </c:pt>
                <c:pt idx="1">
                  <c:v>9.0669497209416091E-5</c:v>
                </c:pt>
                <c:pt idx="2">
                  <c:v>1.4147715273568175E-3</c:v>
                </c:pt>
                <c:pt idx="3">
                  <c:v>6.6925828922058435E-5</c:v>
                </c:pt>
              </c:numCache>
            </c:numRef>
          </c:xVal>
          <c:yVal>
            <c:numRef>
              <c:f>'21st of month'!$AV$12:$AV$15</c:f>
              <c:numCache>
                <c:formatCode>0.000</c:formatCode>
                <c:ptCount val="4"/>
                <c:pt idx="0">
                  <c:v>1.9984749896852616E-2</c:v>
                </c:pt>
                <c:pt idx="1">
                  <c:v>2.317079137869682E-2</c:v>
                </c:pt>
                <c:pt idx="2">
                  <c:v>8.2639544197861792E-2</c:v>
                </c:pt>
                <c:pt idx="3">
                  <c:v>1.9546336246658469E-2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B7-4A5B-B83D-24A453E5419B}"/>
            </c:ext>
          </c:extLst>
        </c:ser>
        <c:ser>
          <c:idx val="1"/>
          <c:order val="3"/>
          <c:tx>
            <c:v>ArcJ 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month'!$AZ$91:$AZ$94</c:f>
              <c:numCache>
                <c:formatCode>0.000000</c:formatCode>
                <c:ptCount val="4"/>
                <c:pt idx="0">
                  <c:v>2.0065884247484835E-3</c:v>
                </c:pt>
                <c:pt idx="1">
                  <c:v>2.1972341439280359E-3</c:v>
                </c:pt>
                <c:pt idx="2">
                  <c:v>2.6328141544679608E-3</c:v>
                </c:pt>
                <c:pt idx="3">
                  <c:v>2.6492333258028586E-3</c:v>
                </c:pt>
              </c:numCache>
            </c:numRef>
          </c:xVal>
          <c:yVal>
            <c:numRef>
              <c:f>'21st of month'!$AV$91:$AV$94</c:f>
              <c:numCache>
                <c:formatCode>0.000</c:formatCode>
                <c:ptCount val="4"/>
                <c:pt idx="0">
                  <c:v>9.7673929210160271E-2</c:v>
                </c:pt>
                <c:pt idx="1">
                  <c:v>0.10209237550773342</c:v>
                </c:pt>
                <c:pt idx="2">
                  <c:v>0.10984840887519753</c:v>
                </c:pt>
                <c:pt idx="3">
                  <c:v>0.11053346286699828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B7-4A5B-B83D-24A453E5419B}"/>
            </c:ext>
          </c:extLst>
        </c:ser>
        <c:ser>
          <c:idx val="2"/>
          <c:order val="4"/>
          <c:tx>
            <c:v>Arc 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month'!$AZ$118:$AZ$121</c:f>
              <c:numCache>
                <c:formatCode>0.000000</c:formatCode>
                <c:ptCount val="4"/>
                <c:pt idx="0">
                  <c:v>1.9197992429547395E-3</c:v>
                </c:pt>
                <c:pt idx="1">
                  <c:v>2.1070109700243333E-3</c:v>
                </c:pt>
                <c:pt idx="2">
                  <c:v>2.3455830314812664E-3</c:v>
                </c:pt>
                <c:pt idx="3">
                  <c:v>4.6457978521981099E-3</c:v>
                </c:pt>
              </c:numCache>
            </c:numRef>
          </c:xVal>
          <c:yVal>
            <c:numRef>
              <c:f>'21st of month'!$AV$118:$AV$121</c:f>
              <c:numCache>
                <c:formatCode>0.000</c:formatCode>
                <c:ptCount val="4"/>
                <c:pt idx="0">
                  <c:v>9.5728577599388687E-2</c:v>
                </c:pt>
                <c:pt idx="1">
                  <c:v>0.10017699215364584</c:v>
                </c:pt>
                <c:pt idx="2">
                  <c:v>0.10424677443010066</c:v>
                </c:pt>
                <c:pt idx="3">
                  <c:v>0.14176047270777054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BB7-4A5B-B83D-24A453E5419B}"/>
            </c:ext>
          </c:extLst>
        </c:ser>
        <c:ser>
          <c:idx val="3"/>
          <c:order val="5"/>
          <c:tx>
            <c:v>Arc 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month'!$AZ$145:$AZ$148</c:f>
              <c:numCache>
                <c:formatCode>0.000000</c:formatCode>
                <c:ptCount val="4"/>
                <c:pt idx="0">
                  <c:v>1.9197992429547395E-3</c:v>
                </c:pt>
                <c:pt idx="1">
                  <c:v>2.3823792374044334E-3</c:v>
                </c:pt>
                <c:pt idx="2">
                  <c:v>2.0722424188952399E-3</c:v>
                </c:pt>
                <c:pt idx="3">
                  <c:v>2.8487718802498244E-3</c:v>
                </c:pt>
              </c:numCache>
            </c:numRef>
          </c:xVal>
          <c:yVal>
            <c:numRef>
              <c:f>'21st of month'!$AV$145:$AV$148</c:f>
              <c:numCache>
                <c:formatCode>0.000</c:formatCode>
                <c:ptCount val="4"/>
                <c:pt idx="0">
                  <c:v>9.5728577599388687E-2</c:v>
                </c:pt>
                <c:pt idx="1">
                  <c:v>0.10588214002034946</c:v>
                </c:pt>
                <c:pt idx="2">
                  <c:v>9.8523935324229983E-2</c:v>
                </c:pt>
                <c:pt idx="3">
                  <c:v>0.1141976440473943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BB7-4A5B-B83D-24A453E5419B}"/>
            </c:ext>
          </c:extLst>
        </c:ser>
        <c:ser>
          <c:idx val="4"/>
          <c:order val="6"/>
          <c:tx>
            <c:v>Arc 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month'!$AZ$172:$AZ$175</c:f>
              <c:numCache>
                <c:formatCode>0.000000</c:formatCode>
                <c:ptCount val="4"/>
                <c:pt idx="0">
                  <c:v>1.285536083426712E-3</c:v>
                </c:pt>
                <c:pt idx="1">
                  <c:v>1.7621816799945139E-3</c:v>
                </c:pt>
                <c:pt idx="2">
                  <c:v>1.8132477735314813E-3</c:v>
                </c:pt>
                <c:pt idx="3">
                  <c:v>1.8270909304551753E-3</c:v>
                </c:pt>
              </c:numCache>
            </c:numRef>
          </c:xVal>
          <c:yVal>
            <c:numRef>
              <c:f>'21st of month'!$AV$172:$AV$175</c:f>
              <c:numCache>
                <c:formatCode>0.000</c:formatCode>
                <c:ptCount val="4"/>
                <c:pt idx="0">
                  <c:v>7.9641600279227731E-2</c:v>
                </c:pt>
                <c:pt idx="1">
                  <c:v>9.2375270139768428E-2</c:v>
                </c:pt>
                <c:pt idx="2">
                  <c:v>9.2675899109367132E-2</c:v>
                </c:pt>
                <c:pt idx="3">
                  <c:v>9.3383429008558339E-2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BB7-4A5B-B83D-24A453E5419B}"/>
            </c:ext>
          </c:extLst>
        </c:ser>
        <c:ser>
          <c:idx val="5"/>
          <c:order val="7"/>
          <c:tx>
            <c:v>Arc Oct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month'!$AZ$199:$AZ$202</c:f>
              <c:numCache>
                <c:formatCode>0.000000</c:formatCode>
                <c:ptCount val="4"/>
                <c:pt idx="0">
                  <c:v>1.2140412762881516E-3</c:v>
                </c:pt>
                <c:pt idx="1">
                  <c:v>8.9193181644584224E-4</c:v>
                </c:pt>
                <c:pt idx="2">
                  <c:v>1.6487886910012044E-3</c:v>
                </c:pt>
                <c:pt idx="3">
                  <c:v>1.5820213144333106E-3</c:v>
                </c:pt>
              </c:numCache>
            </c:numRef>
          </c:xVal>
          <c:yVal>
            <c:numRef>
              <c:f>'21st of month'!$AV$199:$AV$202</c:f>
              <c:numCache>
                <c:formatCode>0.000</c:formatCode>
                <c:ptCount val="4"/>
                <c:pt idx="0">
                  <c:v>7.7562736101392638E-2</c:v>
                </c:pt>
                <c:pt idx="1">
                  <c:v>6.753634268850961E-2</c:v>
                </c:pt>
                <c:pt idx="2">
                  <c:v>8.8705602475992018E-2</c:v>
                </c:pt>
                <c:pt idx="3">
                  <c:v>8.7413850896464362E-2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BB7-4A5B-B83D-24A453E5419B}"/>
            </c:ext>
          </c:extLst>
        </c:ser>
        <c:ser>
          <c:idx val="6"/>
          <c:order val="8"/>
          <c:tx>
            <c:v>Arc 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month'!$AZ$226:$AZ$229</c:f>
              <c:numCache>
                <c:formatCode>0.000000</c:formatCode>
                <c:ptCount val="4"/>
                <c:pt idx="0">
                  <c:v>1.9039283764767936E-4</c:v>
                </c:pt>
                <c:pt idx="1">
                  <c:v>1.6482381038427071E-4</c:v>
                </c:pt>
                <c:pt idx="2">
                  <c:v>1.2674289024952343E-3</c:v>
                </c:pt>
                <c:pt idx="3">
                  <c:v>1.3247915153335139E-4</c:v>
                </c:pt>
              </c:numCache>
            </c:numRef>
          </c:xVal>
          <c:yVal>
            <c:numRef>
              <c:f>'21st of month'!$AV$226:$AV$229</c:f>
              <c:numCache>
                <c:formatCode>0.000</c:formatCode>
                <c:ptCount val="4"/>
                <c:pt idx="0">
                  <c:v>3.2436875001400356E-2</c:v>
                </c:pt>
                <c:pt idx="1">
                  <c:v>3.0633520581077489E-2</c:v>
                </c:pt>
                <c:pt idx="2">
                  <c:v>7.8519823236544939E-2</c:v>
                </c:pt>
                <c:pt idx="3">
                  <c:v>2.7084273116602331E-2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BB7-4A5B-B83D-24A453E5419B}"/>
            </c:ext>
          </c:extLst>
        </c:ser>
        <c:ser>
          <c:idx val="9"/>
          <c:order val="9"/>
          <c:tx>
            <c:v>Arc 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month'!$AZ$253:$AZ$256</c:f>
              <c:numCache>
                <c:formatCode>0.000000</c:formatCode>
                <c:ptCount val="4"/>
                <c:pt idx="0">
                  <c:v>2.5526999231151873E-4</c:v>
                </c:pt>
                <c:pt idx="1">
                  <c:v>1.6482381038427071E-4</c:v>
                </c:pt>
                <c:pt idx="2">
                  <c:v>1.0598117562653055E-3</c:v>
                </c:pt>
                <c:pt idx="3">
                  <c:v>5.9689661907297352E-4</c:v>
                </c:pt>
              </c:numCache>
            </c:numRef>
          </c:xVal>
          <c:yVal>
            <c:numRef>
              <c:f>'21st of month'!$AV$253:$AV$256</c:f>
              <c:numCache>
                <c:formatCode>0.000</c:formatCode>
                <c:ptCount val="4"/>
                <c:pt idx="0">
                  <c:v>3.7277036263635432E-2</c:v>
                </c:pt>
                <c:pt idx="1">
                  <c:v>3.0633520581077489E-2</c:v>
                </c:pt>
                <c:pt idx="2">
                  <c:v>7.222326614324992E-2</c:v>
                </c:pt>
                <c:pt idx="3">
                  <c:v>5.5468456961763279E-2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BB7-4A5B-B83D-24A453E5419B}"/>
            </c:ext>
          </c:extLst>
        </c:ser>
        <c:ser>
          <c:idx val="10"/>
          <c:order val="10"/>
          <c:tx>
            <c:v>Arc Jan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month'!$AZ$280:$AZ$283</c:f>
              <c:numCache>
                <c:formatCode>0.000000</c:formatCode>
                <c:ptCount val="4"/>
                <c:pt idx="0">
                  <c:v>1.3459720073270354E-4</c:v>
                </c:pt>
                <c:pt idx="1">
                  <c:v>2.2578704350166988E-4</c:v>
                </c:pt>
                <c:pt idx="2">
                  <c:v>1.2674289024952343E-3</c:v>
                </c:pt>
                <c:pt idx="3">
                  <c:v>3.5256542589914428E-5</c:v>
                </c:pt>
              </c:numCache>
            </c:numRef>
          </c:xVal>
          <c:yVal>
            <c:numRef>
              <c:f>'21st of month'!$AV$280:$AV$283</c:f>
              <c:numCache>
                <c:formatCode>0.000</c:formatCode>
                <c:ptCount val="4"/>
                <c:pt idx="0">
                  <c:v>2.7517290858078525E-2</c:v>
                </c:pt>
                <c:pt idx="1">
                  <c:v>3.5507926409026114E-2</c:v>
                </c:pt>
                <c:pt idx="2">
                  <c:v>7.8519823236544939E-2</c:v>
                </c:pt>
                <c:pt idx="3">
                  <c:v>1.4415820415516034E-2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BB7-4A5B-B83D-24A453E5419B}"/>
            </c:ext>
          </c:extLst>
        </c:ser>
        <c:ser>
          <c:idx val="11"/>
          <c:order val="11"/>
          <c:tx>
            <c:v>Arc Feb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month'!$AZ$307:$AZ$310</c:f>
              <c:numCache>
                <c:formatCode>0.000000</c:formatCode>
                <c:ptCount val="4"/>
                <c:pt idx="0">
                  <c:v>6.8426938724925183E-5</c:v>
                </c:pt>
                <c:pt idx="1">
                  <c:v>2.9571226748258958E-4</c:v>
                </c:pt>
                <c:pt idx="2">
                  <c:v>1.1964168248518035E-3</c:v>
                </c:pt>
                <c:pt idx="3">
                  <c:v>1.3247915153335139E-4</c:v>
                </c:pt>
              </c:numCache>
            </c:numRef>
          </c:xVal>
          <c:yVal>
            <c:numRef>
              <c:f>'21st of month'!$AV$307:$AV$310</c:f>
              <c:numCache>
                <c:formatCode>0.000</c:formatCode>
                <c:ptCount val="4"/>
                <c:pt idx="0">
                  <c:v>1.9984749896852616E-2</c:v>
                </c:pt>
                <c:pt idx="1">
                  <c:v>4.0303960906190484E-2</c:v>
                </c:pt>
                <c:pt idx="2">
                  <c:v>7.6436744174768201E-2</c:v>
                </c:pt>
                <c:pt idx="3">
                  <c:v>2.7084273116602331E-2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BB7-4A5B-B83D-24A453E5419B}"/>
            </c:ext>
          </c:extLst>
        </c:ser>
        <c:ser>
          <c:idx val="12"/>
          <c:order val="12"/>
          <c:tx>
            <c:v>Ant Mar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month'!$AZ$31</c:f>
              <c:numCache>
                <c:formatCode>0.000000</c:formatCode>
                <c:ptCount val="1"/>
                <c:pt idx="0">
                  <c:v>2.4456459603907607E-4</c:v>
                </c:pt>
              </c:numCache>
            </c:numRef>
          </c:xVal>
          <c:yVal>
            <c:numRef>
              <c:f>'21st of month'!$AV$31</c:f>
              <c:numCache>
                <c:formatCode>0.000</c:formatCode>
                <c:ptCount val="1"/>
                <c:pt idx="0">
                  <c:v>3.5713728953399637E-2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FBB7-4A5B-B83D-24A453E5419B}"/>
            </c:ext>
          </c:extLst>
        </c:ser>
        <c:ser>
          <c:idx val="13"/>
          <c:order val="13"/>
          <c:tx>
            <c:v>Ant Apr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month'!$AZ$57</c:f>
              <c:numCache>
                <c:formatCode>0.000000</c:formatCode>
                <c:ptCount val="1"/>
                <c:pt idx="0">
                  <c:v>0</c:v>
                </c:pt>
              </c:numCache>
            </c:numRef>
          </c:xVal>
          <c:yVal>
            <c:numRef>
              <c:f>'21st of month'!$AV$57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BB7-4A5B-B83D-24A453E5419B}"/>
            </c:ext>
          </c:extLst>
        </c:ser>
        <c:ser>
          <c:idx val="14"/>
          <c:order val="14"/>
          <c:tx>
            <c:v>Ant 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'21st of month'!$AZ$83</c:f>
              <c:numCache>
                <c:formatCode>0.000000</c:formatCode>
                <c:ptCount val="1"/>
                <c:pt idx="0">
                  <c:v>2.0804124532962829E-5</c:v>
                </c:pt>
              </c:numCache>
            </c:numRef>
          </c:xVal>
          <c:yVal>
            <c:numRef>
              <c:f>'21st of month'!$AV$83</c:f>
              <c:numCache>
                <c:formatCode>0.000</c:formatCode>
                <c:ptCount val="1"/>
                <c:pt idx="0">
                  <c:v>1.0633080456073141E-2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BB7-4A5B-B83D-24A453E5419B}"/>
            </c:ext>
          </c:extLst>
        </c:ser>
        <c:ser>
          <c:idx val="15"/>
          <c:order val="15"/>
          <c:tx>
            <c:v>Ant Jun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month'!$AZ$110</c:f>
              <c:numCache>
                <c:formatCode>0.000000</c:formatCode>
                <c:ptCount val="1"/>
                <c:pt idx="0">
                  <c:v>4.4154004813918679E-4</c:v>
                </c:pt>
              </c:numCache>
            </c:numRef>
          </c:xVal>
          <c:yVal>
            <c:numRef>
              <c:f>'21st of month'!$AV$110</c:f>
              <c:numCache>
                <c:formatCode>0.000</c:formatCode>
                <c:ptCount val="1"/>
                <c:pt idx="0">
                  <c:v>4.7510122068682326E-2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BB7-4A5B-B83D-24A453E5419B}"/>
            </c:ext>
          </c:extLst>
        </c:ser>
        <c:ser>
          <c:idx val="16"/>
          <c:order val="16"/>
          <c:tx>
            <c:v>Ant 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month'!$AZ$137</c:f>
              <c:numCache>
                <c:formatCode>0.000000</c:formatCode>
                <c:ptCount val="1"/>
                <c:pt idx="0">
                  <c:v>1.2682503407191896E-4</c:v>
                </c:pt>
              </c:numCache>
            </c:numRef>
          </c:xVal>
          <c:yVal>
            <c:numRef>
              <c:f>'21st of month'!$AV$137</c:f>
              <c:numCache>
                <c:formatCode>0.000</c:formatCode>
                <c:ptCount val="1"/>
                <c:pt idx="0">
                  <c:v>2.5928335297056182E-2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BB7-4A5B-B83D-24A453E5419B}"/>
            </c:ext>
          </c:extLst>
        </c:ser>
        <c:ser>
          <c:idx val="17"/>
          <c:order val="17"/>
          <c:tx>
            <c:v>Ant 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month'!$AZ$164</c:f>
              <c:numCache>
                <c:formatCode>0.000000</c:formatCode>
                <c:ptCount val="1"/>
                <c:pt idx="0">
                  <c:v>2.0804124532962829E-5</c:v>
                </c:pt>
              </c:numCache>
            </c:numRef>
          </c:xVal>
          <c:yVal>
            <c:numRef>
              <c:f>'21st of month'!$AV$164</c:f>
              <c:numCache>
                <c:formatCode>0.000</c:formatCode>
                <c:ptCount val="1"/>
                <c:pt idx="0">
                  <c:v>1.0633080456073141E-2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FBB7-4A5B-B83D-24A453E5419B}"/>
            </c:ext>
          </c:extLst>
        </c:ser>
        <c:ser>
          <c:idx val="18"/>
          <c:order val="18"/>
          <c:tx>
            <c:v>Ant 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month'!$AZ$191</c:f>
              <c:numCache>
                <c:formatCode>0.000000</c:formatCode>
                <c:ptCount val="1"/>
                <c:pt idx="0">
                  <c:v>3.5629490962286369E-4</c:v>
                </c:pt>
              </c:numCache>
            </c:numRef>
          </c:xVal>
          <c:yVal>
            <c:numRef>
              <c:f>'21st of month'!$AV$191</c:f>
              <c:numCache>
                <c:formatCode>0.000</c:formatCode>
                <c:ptCount val="1"/>
                <c:pt idx="0">
                  <c:v>4.2847979033100558E-2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FBB7-4A5B-B83D-24A453E5419B}"/>
            </c:ext>
          </c:extLst>
        </c:ser>
        <c:ser>
          <c:idx val="19"/>
          <c:order val="19"/>
          <c:tx>
            <c:v>Ant Oct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month'!$AZ$218</c:f>
              <c:numCache>
                <c:formatCode>0.000000</c:formatCode>
                <c:ptCount val="1"/>
                <c:pt idx="0">
                  <c:v>4.8731386403653819E-4</c:v>
                </c:pt>
              </c:numCache>
            </c:numRef>
          </c:xVal>
          <c:yVal>
            <c:numRef>
              <c:f>'21st of month'!$AV$218</c:f>
              <c:numCache>
                <c:formatCode>0.000</c:formatCode>
                <c:ptCount val="1"/>
                <c:pt idx="0">
                  <c:v>4.9813656089689351E-2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FBB7-4A5B-B83D-24A453E5419B}"/>
            </c:ext>
          </c:extLst>
        </c:ser>
        <c:ser>
          <c:idx val="20"/>
          <c:order val="20"/>
          <c:tx>
            <c:v>Ant 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month'!$AZ$245</c:f>
              <c:numCache>
                <c:formatCode>0.000000</c:formatCode>
                <c:ptCount val="1"/>
                <c:pt idx="0">
                  <c:v>9.2596008980072727E-4</c:v>
                </c:pt>
              </c:numCache>
            </c:numRef>
          </c:xVal>
          <c:yVal>
            <c:numRef>
              <c:f>'21st of month'!$AV$245</c:f>
              <c:numCache>
                <c:formatCode>0.000</c:formatCode>
                <c:ptCount val="1"/>
                <c:pt idx="0">
                  <c:v>6.7608902115016245E-2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FBB7-4A5B-B83D-24A453E5419B}"/>
            </c:ext>
          </c:extLst>
        </c:ser>
        <c:ser>
          <c:idx val="21"/>
          <c:order val="21"/>
          <c:tx>
            <c:v>Ant 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'21st of month'!$AZ$272</c:f>
              <c:numCache>
                <c:formatCode>0.000000</c:formatCode>
                <c:ptCount val="1"/>
                <c:pt idx="0">
                  <c:v>1.3347480611729543E-3</c:v>
                </c:pt>
              </c:numCache>
            </c:numRef>
          </c:xVal>
          <c:yVal>
            <c:numRef>
              <c:f>'21st of month'!$AV$272</c:f>
              <c:numCache>
                <c:formatCode>0.000</c:formatCode>
                <c:ptCount val="1"/>
                <c:pt idx="0">
                  <c:v>8.0258313260982317E-2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FBB7-4A5B-B83D-24A453E5419B}"/>
            </c:ext>
          </c:extLst>
        </c:ser>
        <c:ser>
          <c:idx val="22"/>
          <c:order val="22"/>
          <c:tx>
            <c:v>Ant Jan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month'!$AZ$299</c:f>
              <c:numCache>
                <c:formatCode>0.000000</c:formatCode>
                <c:ptCount val="1"/>
                <c:pt idx="0">
                  <c:v>1.4853113639241031E-3</c:v>
                </c:pt>
              </c:numCache>
            </c:numRef>
          </c:xVal>
          <c:yVal>
            <c:numRef>
              <c:f>'21st of month'!$AV$299</c:f>
              <c:numCache>
                <c:formatCode>0.000</c:formatCode>
                <c:ptCount val="1"/>
                <c:pt idx="0">
                  <c:v>8.4349915058114844E-2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FBB7-4A5B-B83D-24A453E5419B}"/>
            </c:ext>
          </c:extLst>
        </c:ser>
        <c:ser>
          <c:idx val="23"/>
          <c:order val="23"/>
          <c:tx>
            <c:v>Ant Feb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month'!$AZ$326</c:f>
              <c:numCache>
                <c:formatCode>0.000000</c:formatCode>
                <c:ptCount val="1"/>
                <c:pt idx="0">
                  <c:v>5.8504092360467288E-4</c:v>
                </c:pt>
              </c:numCache>
            </c:numRef>
          </c:xVal>
          <c:yVal>
            <c:numRef>
              <c:f>'21st of month'!$AV$326</c:f>
              <c:numCache>
                <c:formatCode>0.000</c:formatCode>
                <c:ptCount val="1"/>
                <c:pt idx="0">
                  <c:v>5.4366729940999559E-2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FBB7-4A5B-B83D-24A453E54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6.0000000000000019E-3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Temperature change, 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0"/>
        <c:crossBetween val="midCat"/>
        <c:majorUnit val="1.0000000000000002E-3"/>
      </c:valAx>
      <c:valAx>
        <c:axId val="481311920"/>
        <c:scaling>
          <c:orientation val="minMax"/>
          <c:max val="0.16000000000000003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 val="autoZero"/>
        <c:crossBetween val="midCat"/>
        <c:majorUnit val="2.0000000000000004E-2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Water vapor molecules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month'!$AT$12:$AT$31</c:f>
              <c:numCache>
                <c:formatCode>0.0</c:formatCode>
                <c:ptCount val="20"/>
                <c:pt idx="0">
                  <c:v>0.77610052295883125</c:v>
                </c:pt>
                <c:pt idx="1">
                  <c:v>0.72007575913885447</c:v>
                </c:pt>
                <c:pt idx="2">
                  <c:v>11.355491957217867</c:v>
                </c:pt>
                <c:pt idx="3">
                  <c:v>0.70027838885313731</c:v>
                </c:pt>
                <c:pt idx="4">
                  <c:v>5.179343967945778</c:v>
                </c:pt>
                <c:pt idx="5">
                  <c:v>21.865254028782619</c:v>
                </c:pt>
                <c:pt idx="6">
                  <c:v>16.909164953967537</c:v>
                </c:pt>
                <c:pt idx="7">
                  <c:v>16.018071691672265</c:v>
                </c:pt>
                <c:pt idx="8">
                  <c:v>9.4665455129549532</c:v>
                </c:pt>
                <c:pt idx="9">
                  <c:v>13.11751422333178</c:v>
                </c:pt>
                <c:pt idx="10">
                  <c:v>14.404399257497767</c:v>
                </c:pt>
                <c:pt idx="11">
                  <c:v>92.585271260520202</c:v>
                </c:pt>
                <c:pt idx="12">
                  <c:v>103.14419438710053</c:v>
                </c:pt>
                <c:pt idx="13">
                  <c:v>96.230723155843734</c:v>
                </c:pt>
                <c:pt idx="14">
                  <c:v>27.010667666790759</c:v>
                </c:pt>
                <c:pt idx="15">
                  <c:v>66.37203182645554</c:v>
                </c:pt>
                <c:pt idx="16">
                  <c:v>39.201753607165934</c:v>
                </c:pt>
                <c:pt idx="17">
                  <c:v>38.801946572250003</c:v>
                </c:pt>
                <c:pt idx="18">
                  <c:v>15.472256121931121</c:v>
                </c:pt>
                <c:pt idx="19">
                  <c:v>1.3792448503787573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5B-4AFA-B1F8-CC4DEB8BC601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month'!$AT$38:$AT$57</c:f>
              <c:numCache>
                <c:formatCode>0.0</c:formatCode>
                <c:ptCount val="20"/>
                <c:pt idx="0">
                  <c:v>2.4838519500343645</c:v>
                </c:pt>
                <c:pt idx="1">
                  <c:v>4.1402608014680053</c:v>
                </c:pt>
                <c:pt idx="2">
                  <c:v>11.134426598256457</c:v>
                </c:pt>
                <c:pt idx="3">
                  <c:v>5.5711992686881082</c:v>
                </c:pt>
                <c:pt idx="4">
                  <c:v>15.716418388778006</c:v>
                </c:pt>
                <c:pt idx="5">
                  <c:v>27.974697778262168</c:v>
                </c:pt>
                <c:pt idx="6">
                  <c:v>28.231690506638152</c:v>
                </c:pt>
                <c:pt idx="7">
                  <c:v>22.101746910467593</c:v>
                </c:pt>
                <c:pt idx="8">
                  <c:v>13.069301033963031</c:v>
                </c:pt>
                <c:pt idx="9">
                  <c:v>7.6818680421710415</c:v>
                </c:pt>
                <c:pt idx="10">
                  <c:v>13.663354937896393</c:v>
                </c:pt>
                <c:pt idx="11">
                  <c:v>99.930296398555328</c:v>
                </c:pt>
                <c:pt idx="12">
                  <c:v>87.918004941457852</c:v>
                </c:pt>
                <c:pt idx="13">
                  <c:v>94.504450898223936</c:v>
                </c:pt>
                <c:pt idx="14">
                  <c:v>33.160398816983914</c:v>
                </c:pt>
                <c:pt idx="15">
                  <c:v>62.72880078273181</c:v>
                </c:pt>
                <c:pt idx="16">
                  <c:v>25.972563961845474</c:v>
                </c:pt>
                <c:pt idx="17">
                  <c:v>34.904002072091139</c:v>
                </c:pt>
                <c:pt idx="18">
                  <c:v>19.660627576471697</c:v>
                </c:pt>
                <c:pt idx="19">
                  <c:v>0.26886912402013013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5B-4AFA-B1F8-CC4DEB8BC601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month'!$AT$64:$AT$83</c:f>
              <c:numCache>
                <c:formatCode>0.0</c:formatCode>
                <c:ptCount val="20"/>
                <c:pt idx="0">
                  <c:v>6.6596017293471785</c:v>
                </c:pt>
                <c:pt idx="1">
                  <c:v>8.4966159769865435</c:v>
                </c:pt>
                <c:pt idx="2">
                  <c:v>16.911843026022183</c:v>
                </c:pt>
                <c:pt idx="3">
                  <c:v>14.406047466038274</c:v>
                </c:pt>
                <c:pt idx="4">
                  <c:v>8.0614871038103892</c:v>
                </c:pt>
                <c:pt idx="5">
                  <c:v>30.270622804314609</c:v>
                </c:pt>
                <c:pt idx="6">
                  <c:v>32.98389825399542</c:v>
                </c:pt>
                <c:pt idx="7">
                  <c:v>39.170842378523815</c:v>
                </c:pt>
                <c:pt idx="8">
                  <c:v>50.655891779404243</c:v>
                </c:pt>
                <c:pt idx="9">
                  <c:v>76.407055860536772</c:v>
                </c:pt>
                <c:pt idx="10">
                  <c:v>24.44704266566519</c:v>
                </c:pt>
                <c:pt idx="11">
                  <c:v>86.718423653897119</c:v>
                </c:pt>
                <c:pt idx="12">
                  <c:v>79.82337533534961</c:v>
                </c:pt>
                <c:pt idx="13">
                  <c:v>88.653095702229933</c:v>
                </c:pt>
                <c:pt idx="14">
                  <c:v>22.656212857879868</c:v>
                </c:pt>
                <c:pt idx="15">
                  <c:v>29.087595600465598</c:v>
                </c:pt>
                <c:pt idx="16">
                  <c:v>23.335542010880946</c:v>
                </c:pt>
                <c:pt idx="17">
                  <c:v>21.376077824628787</c:v>
                </c:pt>
                <c:pt idx="18">
                  <c:v>27.109020971765823</c:v>
                </c:pt>
                <c:pt idx="19">
                  <c:v>0.28797003559806533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5B-4AFA-B1F8-CC4DEB8BC601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month'!$AT$91:$AT$110</c:f>
              <c:numCache>
                <c:formatCode>0.0</c:formatCode>
                <c:ptCount val="20"/>
                <c:pt idx="0">
                  <c:v>17.280121130819719</c:v>
                </c:pt>
                <c:pt idx="1">
                  <c:v>25.249632456156093</c:v>
                </c:pt>
                <c:pt idx="2">
                  <c:v>40.846665555194669</c:v>
                </c:pt>
                <c:pt idx="3">
                  <c:v>23.20273343397464</c:v>
                </c:pt>
                <c:pt idx="4">
                  <c:v>24.979429875251594</c:v>
                </c:pt>
                <c:pt idx="5">
                  <c:v>55.16154233317603</c:v>
                </c:pt>
                <c:pt idx="6">
                  <c:v>44.538657305979712</c:v>
                </c:pt>
                <c:pt idx="7">
                  <c:v>43.156166214066694</c:v>
                </c:pt>
                <c:pt idx="8">
                  <c:v>67.038925221658374</c:v>
                </c:pt>
                <c:pt idx="9">
                  <c:v>23.162552993070801</c:v>
                </c:pt>
                <c:pt idx="10">
                  <c:v>17.060244559141704</c:v>
                </c:pt>
                <c:pt idx="11">
                  <c:v>92.585271260520202</c:v>
                </c:pt>
                <c:pt idx="12">
                  <c:v>96.559848301848163</c:v>
                </c:pt>
                <c:pt idx="13">
                  <c:v>72.923361249318262</c:v>
                </c:pt>
                <c:pt idx="14">
                  <c:v>23.20028216159886</c:v>
                </c:pt>
                <c:pt idx="15">
                  <c:v>22.523159149945037</c:v>
                </c:pt>
                <c:pt idx="16">
                  <c:v>22.134750187319725</c:v>
                </c:pt>
                <c:pt idx="17">
                  <c:v>18.91672271292035</c:v>
                </c:pt>
                <c:pt idx="18">
                  <c:v>19.741100592030623</c:v>
                </c:pt>
                <c:pt idx="19">
                  <c:v>1.2188337611600009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5B-4AFA-B1F8-CC4DEB8BC601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month'!$AT$118:$AT$137</c:f>
              <c:numCache>
                <c:formatCode>0.0</c:formatCode>
                <c:ptCount val="20"/>
                <c:pt idx="0">
                  <c:v>21.359193939475038</c:v>
                </c:pt>
                <c:pt idx="1">
                  <c:v>26.700696238153846</c:v>
                </c:pt>
                <c:pt idx="2">
                  <c:v>20.038366110813673</c:v>
                </c:pt>
                <c:pt idx="3">
                  <c:v>44.858430230462261</c:v>
                </c:pt>
                <c:pt idx="4">
                  <c:v>18.778924809596298</c:v>
                </c:pt>
                <c:pt idx="5">
                  <c:v>35.697341682192814</c:v>
                </c:pt>
                <c:pt idx="6">
                  <c:v>72.315644313377447</c:v>
                </c:pt>
                <c:pt idx="7">
                  <c:v>90.930950514644834</c:v>
                </c:pt>
                <c:pt idx="8">
                  <c:v>49.112772101305467</c:v>
                </c:pt>
                <c:pt idx="9">
                  <c:v>76.036485115952928</c:v>
                </c:pt>
                <c:pt idx="10">
                  <c:v>22.836971547553507</c:v>
                </c:pt>
                <c:pt idx="11">
                  <c:v>86.467847631778994</c:v>
                </c:pt>
                <c:pt idx="12">
                  <c:v>91.824761579564566</c:v>
                </c:pt>
                <c:pt idx="13">
                  <c:v>87.49061567696549</c:v>
                </c:pt>
                <c:pt idx="14">
                  <c:v>31.1253218387629</c:v>
                </c:pt>
                <c:pt idx="15">
                  <c:v>23.335605340572531</c:v>
                </c:pt>
                <c:pt idx="16">
                  <c:v>25.04226501857644</c:v>
                </c:pt>
                <c:pt idx="17">
                  <c:v>25.38107316786602</c:v>
                </c:pt>
                <c:pt idx="18">
                  <c:v>19.741100592030623</c:v>
                </c:pt>
                <c:pt idx="19">
                  <c:v>0.38444249310401402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5B-4AFA-B1F8-CC4DEB8BC601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month'!$AT$145:$AT$164</c:f>
              <c:numCache>
                <c:formatCode>0.0</c:formatCode>
                <c:ptCount val="20"/>
                <c:pt idx="0">
                  <c:v>22.979988265247663</c:v>
                </c:pt>
                <c:pt idx="1">
                  <c:v>29.847780425306006</c:v>
                </c:pt>
                <c:pt idx="2">
                  <c:v>19.855450554796843</c:v>
                </c:pt>
                <c:pt idx="3">
                  <c:v>31.390924671703495</c:v>
                </c:pt>
                <c:pt idx="4">
                  <c:v>18.87420820449298</c:v>
                </c:pt>
                <c:pt idx="5">
                  <c:v>44.502502582043128</c:v>
                </c:pt>
                <c:pt idx="6">
                  <c:v>57.58413793192986</c:v>
                </c:pt>
                <c:pt idx="7">
                  <c:v>68.435540600948784</c:v>
                </c:pt>
                <c:pt idx="8">
                  <c:v>84.665089251849025</c:v>
                </c:pt>
                <c:pt idx="9">
                  <c:v>39.246684404559076</c:v>
                </c:pt>
                <c:pt idx="10">
                  <c:v>21.126007764771437</c:v>
                </c:pt>
                <c:pt idx="11">
                  <c:v>92.230939668808389</c:v>
                </c:pt>
                <c:pt idx="12">
                  <c:v>92.952617683785789</c:v>
                </c:pt>
                <c:pt idx="13">
                  <c:v>86.096805130706926</c:v>
                </c:pt>
                <c:pt idx="14">
                  <c:v>30.407372003803239</c:v>
                </c:pt>
                <c:pt idx="15">
                  <c:v>31.129323704568645</c:v>
                </c:pt>
                <c:pt idx="16">
                  <c:v>26.68161533302019</c:v>
                </c:pt>
                <c:pt idx="17">
                  <c:v>22.667919880159289</c:v>
                </c:pt>
                <c:pt idx="18">
                  <c:v>16.401484690980524</c:v>
                </c:pt>
                <c:pt idx="19">
                  <c:v>0.3415533761120686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5B-4AFA-B1F8-CC4DEB8BC601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month'!$AT$172:$AT$191</c:f>
              <c:numCache>
                <c:formatCode>0.0</c:formatCode>
                <c:ptCount val="20"/>
                <c:pt idx="0">
                  <c:v>10.996288555920684</c:v>
                </c:pt>
                <c:pt idx="1">
                  <c:v>15.633989065412329</c:v>
                </c:pt>
                <c:pt idx="2">
                  <c:v>14.620036960597762</c:v>
                </c:pt>
                <c:pt idx="3">
                  <c:v>14.658283619881237</c:v>
                </c:pt>
                <c:pt idx="4">
                  <c:v>11.854333145505045</c:v>
                </c:pt>
                <c:pt idx="5">
                  <c:v>33.326764881793501</c:v>
                </c:pt>
                <c:pt idx="6">
                  <c:v>43.346698122385973</c:v>
                </c:pt>
                <c:pt idx="7">
                  <c:v>49.254101787643123</c:v>
                </c:pt>
                <c:pt idx="8">
                  <c:v>43.124145217618739</c:v>
                </c:pt>
                <c:pt idx="9">
                  <c:v>32.800597314843614</c:v>
                </c:pt>
                <c:pt idx="10">
                  <c:v>18.553359670087563</c:v>
                </c:pt>
                <c:pt idx="11">
                  <c:v>85.457553145574394</c:v>
                </c:pt>
                <c:pt idx="12">
                  <c:v>95.598635171623897</c:v>
                </c:pt>
                <c:pt idx="13">
                  <c:v>86.096805130706926</c:v>
                </c:pt>
                <c:pt idx="14">
                  <c:v>33.643385336254916</c:v>
                </c:pt>
                <c:pt idx="15">
                  <c:v>31.000821071584138</c:v>
                </c:pt>
                <c:pt idx="16">
                  <c:v>29.249573433747042</c:v>
                </c:pt>
                <c:pt idx="17">
                  <c:v>20.441648700170315</c:v>
                </c:pt>
                <c:pt idx="18">
                  <c:v>29.77057446755768</c:v>
                </c:pt>
                <c:pt idx="19">
                  <c:v>1.2890247903406682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45B-4AFA-B1F8-CC4DEB8BC601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month'!$AT$199:$AT$218</c:f>
              <c:numCache>
                <c:formatCode>0.0</c:formatCode>
                <c:ptCount val="20"/>
                <c:pt idx="0">
                  <c:v>9.2899271972917035</c:v>
                </c:pt>
                <c:pt idx="1">
                  <c:v>6.0423322688299921</c:v>
                </c:pt>
                <c:pt idx="2">
                  <c:v>11.65727971799868</c:v>
                </c:pt>
                <c:pt idx="3">
                  <c:v>14.569783690700513</c:v>
                </c:pt>
                <c:pt idx="4">
                  <c:v>12.966843124690405</c:v>
                </c:pt>
                <c:pt idx="5">
                  <c:v>32.562547689379024</c:v>
                </c:pt>
                <c:pt idx="6">
                  <c:v>46.771521710202684</c:v>
                </c:pt>
                <c:pt idx="7">
                  <c:v>13.57671085323596</c:v>
                </c:pt>
                <c:pt idx="8">
                  <c:v>33.671201504290401</c:v>
                </c:pt>
                <c:pt idx="9">
                  <c:v>18.444156328082833</c:v>
                </c:pt>
                <c:pt idx="10">
                  <c:v>31.02947955301482</c:v>
                </c:pt>
                <c:pt idx="11">
                  <c:v>98.342461811525567</c:v>
                </c:pt>
                <c:pt idx="12">
                  <c:v>93.781034830213983</c:v>
                </c:pt>
                <c:pt idx="13">
                  <c:v>88.653095702229933</c:v>
                </c:pt>
                <c:pt idx="14">
                  <c:v>35.987661073130759</c:v>
                </c:pt>
                <c:pt idx="15">
                  <c:v>54.215449502532927</c:v>
                </c:pt>
                <c:pt idx="16">
                  <c:v>40.205375622828193</c:v>
                </c:pt>
                <c:pt idx="17">
                  <c:v>25.614439333646821</c:v>
                </c:pt>
                <c:pt idx="18">
                  <c:v>14.750369515608433</c:v>
                </c:pt>
                <c:pt idx="19">
                  <c:v>2.3004517043951735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45B-4AFA-B1F8-CC4DEB8BC601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month'!$AT$226:$AT$245</c:f>
              <c:numCache>
                <c:formatCode>0.0</c:formatCode>
                <c:ptCount val="20"/>
                <c:pt idx="0">
                  <c:v>1.2075176587164207</c:v>
                </c:pt>
                <c:pt idx="1">
                  <c:v>1.0471268046815125</c:v>
                </c:pt>
                <c:pt idx="2">
                  <c:v>8.0864991519991474</c:v>
                </c:pt>
                <c:pt idx="3">
                  <c:v>1.0035930379334095</c:v>
                </c:pt>
                <c:pt idx="4">
                  <c:v>3.2473911709422785</c:v>
                </c:pt>
                <c:pt idx="5">
                  <c:v>20.74612540298186</c:v>
                </c:pt>
                <c:pt idx="6">
                  <c:v>29.091686403830703</c:v>
                </c:pt>
                <c:pt idx="7">
                  <c:v>8.2467108576179271</c:v>
                </c:pt>
                <c:pt idx="8">
                  <c:v>19.907522197423418</c:v>
                </c:pt>
                <c:pt idx="9">
                  <c:v>9.8210976494146855</c:v>
                </c:pt>
                <c:pt idx="10">
                  <c:v>23.813839676218929</c:v>
                </c:pt>
                <c:pt idx="11">
                  <c:v>86.467847631778994</c:v>
                </c:pt>
                <c:pt idx="12">
                  <c:v>88.564432563810598</c:v>
                </c:pt>
                <c:pt idx="13">
                  <c:v>83.420191454402683</c:v>
                </c:pt>
                <c:pt idx="14">
                  <c:v>39.533444370568326</c:v>
                </c:pt>
                <c:pt idx="15">
                  <c:v>62.374719304669952</c:v>
                </c:pt>
                <c:pt idx="16">
                  <c:v>33.361641360018083</c:v>
                </c:pt>
                <c:pt idx="17">
                  <c:v>32.98531822789662</c:v>
                </c:pt>
                <c:pt idx="18">
                  <c:v>13.966312301529083</c:v>
                </c:pt>
                <c:pt idx="19">
                  <c:v>3.6257801522626543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45B-4AFA-B1F8-CC4DEB8BC601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multiLvlStrRef>
              <c:f>'21st of month'!$AT$253:$AV$272</c:f>
              <c:multiLvlStrCache>
                <c:ptCount val="20"/>
                <c:lvl>
                  <c:pt idx="0">
                    <c:v>0.037</c:v>
                  </c:pt>
                  <c:pt idx="1">
                    <c:v>0.031</c:v>
                  </c:pt>
                  <c:pt idx="2">
                    <c:v>0.072</c:v>
                  </c:pt>
                  <c:pt idx="3">
                    <c:v>0.055</c:v>
                  </c:pt>
                  <c:pt idx="4">
                    <c:v>0.086</c:v>
                  </c:pt>
                  <c:pt idx="5">
                    <c:v>0.090</c:v>
                  </c:pt>
                  <c:pt idx="6">
                    <c:v>0.106</c:v>
                  </c:pt>
                  <c:pt idx="7">
                    <c:v>0.052</c:v>
                  </c:pt>
                  <c:pt idx="8">
                    <c:v>0.084</c:v>
                  </c:pt>
                  <c:pt idx="9">
                    <c:v>0.082</c:v>
                  </c:pt>
                  <c:pt idx="10">
                    <c:v>0.137</c:v>
                  </c:pt>
                  <c:pt idx="11">
                    <c:v>0.142</c:v>
                  </c:pt>
                  <c:pt idx="12">
                    <c:v>0.134</c:v>
                  </c:pt>
                  <c:pt idx="13">
                    <c:v>0.141</c:v>
                  </c:pt>
                  <c:pt idx="14">
                    <c:v>0.166</c:v>
                  </c:pt>
                  <c:pt idx="15">
                    <c:v>0.129</c:v>
                  </c:pt>
                  <c:pt idx="16">
                    <c:v>0.111</c:v>
                  </c:pt>
                  <c:pt idx="17">
                    <c:v>0.107</c:v>
                  </c:pt>
                  <c:pt idx="18">
                    <c:v>0.121</c:v>
                  </c:pt>
                  <c:pt idx="19">
                    <c:v>0.080</c:v>
                  </c:pt>
                </c:lvl>
                <c:lvl>
                  <c:pt idx="0">
                    <c:v>1.4</c:v>
                  </c:pt>
                  <c:pt idx="1">
                    <c:v>0.9</c:v>
                  </c:pt>
                  <c:pt idx="2">
                    <c:v>7.2</c:v>
                  </c:pt>
                  <c:pt idx="3">
                    <c:v>3.6</c:v>
                  </c:pt>
                  <c:pt idx="4">
                    <c:v>4.7</c:v>
                  </c:pt>
                  <c:pt idx="5">
                    <c:v>17.7</c:v>
                  </c:pt>
                  <c:pt idx="6">
                    <c:v>23.4</c:v>
                  </c:pt>
                  <c:pt idx="7">
                    <c:v>1.1</c:v>
                  </c:pt>
                  <c:pt idx="8">
                    <c:v>6.7</c:v>
                  </c:pt>
                  <c:pt idx="9">
                    <c:v>6.4</c:v>
                  </c:pt>
                  <c:pt idx="10">
                    <c:v>19.1</c:v>
                  </c:pt>
                  <c:pt idx="11">
                    <c:v>105.0</c:v>
                  </c:pt>
                  <c:pt idx="12">
                    <c:v>90.6</c:v>
                  </c:pt>
                  <c:pt idx="13">
                    <c:v>87.1</c:v>
                  </c:pt>
                  <c:pt idx="14">
                    <c:v>43.3</c:v>
                  </c:pt>
                  <c:pt idx="15">
                    <c:v>62.4</c:v>
                  </c:pt>
                  <c:pt idx="16">
                    <c:v>21.3</c:v>
                  </c:pt>
                  <c:pt idx="17">
                    <c:v>38.0</c:v>
                  </c:pt>
                  <c:pt idx="18">
                    <c:v>28.1</c:v>
                  </c:pt>
                  <c:pt idx="19">
                    <c:v>9.6</c:v>
                  </c:pt>
                </c:lvl>
              </c:multiLvlStrCache>
            </c:multiLvlStr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45B-4AFA-B1F8-CC4DEB8BC601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month'!$AT$280:$AT$299</c:f>
              <c:numCache>
                <c:formatCode>0.0</c:formatCode>
                <c:ptCount val="20"/>
                <c:pt idx="0">
                  <c:v>1.2628483304426004</c:v>
                </c:pt>
                <c:pt idx="1">
                  <c:v>1.1477656916598518</c:v>
                </c:pt>
                <c:pt idx="2">
                  <c:v>8.6829856597206003</c:v>
                </c:pt>
                <c:pt idx="3">
                  <c:v>0.57808346533010047</c:v>
                </c:pt>
                <c:pt idx="4">
                  <c:v>4.0357675093860745</c:v>
                </c:pt>
                <c:pt idx="5">
                  <c:v>24.432557077654504</c:v>
                </c:pt>
                <c:pt idx="6">
                  <c:v>9.5294908643094587</c:v>
                </c:pt>
                <c:pt idx="7">
                  <c:v>1.8536896140738011</c:v>
                </c:pt>
                <c:pt idx="8">
                  <c:v>1.7859002674901672</c:v>
                </c:pt>
                <c:pt idx="9">
                  <c:v>2.0638690694921737</c:v>
                </c:pt>
                <c:pt idx="10">
                  <c:v>11.464729230271578</c:v>
                </c:pt>
                <c:pt idx="11">
                  <c:v>85.457553145574394</c:v>
                </c:pt>
                <c:pt idx="12">
                  <c:v>88.906002799937127</c:v>
                </c:pt>
                <c:pt idx="13">
                  <c:v>108.55744049862955</c:v>
                </c:pt>
                <c:pt idx="14">
                  <c:v>18.68468088194248</c:v>
                </c:pt>
                <c:pt idx="15">
                  <c:v>58.497247533667021</c:v>
                </c:pt>
                <c:pt idx="16">
                  <c:v>36.439251816531367</c:v>
                </c:pt>
                <c:pt idx="17">
                  <c:v>36.694922429317614</c:v>
                </c:pt>
                <c:pt idx="18">
                  <c:v>32.937787727234813</c:v>
                </c:pt>
                <c:pt idx="19">
                  <c:v>4.7829008027462798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45B-4AFA-B1F8-CC4DEB8BC601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month'!$AT$307:$AT$326</c:f>
              <c:numCache>
                <c:formatCode>0.0</c:formatCode>
                <c:ptCount val="20"/>
                <c:pt idx="0">
                  <c:v>0.64515781356428203</c:v>
                </c:pt>
                <c:pt idx="1">
                  <c:v>1.5601875335033135</c:v>
                </c:pt>
                <c:pt idx="2">
                  <c:v>10.017307209147592</c:v>
                </c:pt>
                <c:pt idx="3">
                  <c:v>0.78479253772659263</c:v>
                </c:pt>
                <c:pt idx="4">
                  <c:v>5.0879658989210812</c:v>
                </c:pt>
                <c:pt idx="5">
                  <c:v>19.893322591295558</c:v>
                </c:pt>
                <c:pt idx="6">
                  <c:v>16.21668000831944</c:v>
                </c:pt>
                <c:pt idx="7">
                  <c:v>2.5170004752899517</c:v>
                </c:pt>
                <c:pt idx="8">
                  <c:v>14.113119278225508</c:v>
                </c:pt>
                <c:pt idx="9">
                  <c:v>6.9258918260949933</c:v>
                </c:pt>
                <c:pt idx="10">
                  <c:v>10.671155382482736</c:v>
                </c:pt>
                <c:pt idx="11">
                  <c:v>99.430665894553741</c:v>
                </c:pt>
                <c:pt idx="12">
                  <c:v>89.704139401052629</c:v>
                </c:pt>
                <c:pt idx="13">
                  <c:v>78.875660959460205</c:v>
                </c:pt>
                <c:pt idx="14">
                  <c:v>37.052279988951618</c:v>
                </c:pt>
                <c:pt idx="15">
                  <c:v>48.648789118738506</c:v>
                </c:pt>
                <c:pt idx="16">
                  <c:v>18.213383246815027</c:v>
                </c:pt>
                <c:pt idx="17">
                  <c:v>43.609331576232115</c:v>
                </c:pt>
                <c:pt idx="18">
                  <c:v>21.455920714761465</c:v>
                </c:pt>
                <c:pt idx="19">
                  <c:v>1.6749533457860251</c:v>
                </c:pt>
              </c:numCache>
            </c:numRef>
          </c:xVal>
          <c:yVal>
            <c:numRef>
              <c:f>'21st of month'!$H$307:$H$327</c:f>
              <c:numCache>
                <c:formatCode>General</c:formatCode>
                <c:ptCount val="21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45B-4AFA-B1F8-CC4DEB8BC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2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Number of water vapor molecules per molecule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humidity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month'!$R$12:$R$31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FB-49A5-ADF2-54D8DF9D6917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month'!$R$38:$R$57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FB-49A5-ADF2-54D8DF9D6917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month'!$R$64:$R$83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FB-49A5-ADF2-54D8DF9D6917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month'!$R$91:$R$110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FB-49A5-ADF2-54D8DF9D6917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month'!$R$118:$R$137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7FB-49A5-ADF2-54D8DF9D6917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month'!$R$145:$R$164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FB-49A5-ADF2-54D8DF9D6917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month'!$R$172:$R$191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7FB-49A5-ADF2-54D8DF9D6917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month'!$R$199:$R$218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7FB-49A5-ADF2-54D8DF9D6917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month'!$R$226:$R$245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7FB-49A5-ADF2-54D8DF9D6917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month'!$R$253:$R$272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7FB-49A5-ADF2-54D8DF9D6917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month'!$R$280:$R$299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7FB-49A5-ADF2-54D8DF9D6917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month'!$R$307:$R$326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7FB-49A5-ADF2-54D8DF9D6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ratio, grams of water per kg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humidity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month'!$R$12:$R$31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5B-473F-AE18-E31D7AB6A87B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month'!$R$38:$R$57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5B-473F-AE18-E31D7AB6A87B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month'!$R$64:$R$83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5B-473F-AE18-E31D7AB6A87B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month'!$R$91:$R$110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95B-473F-AE18-E31D7AB6A87B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month'!$R$118:$R$137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95B-473F-AE18-E31D7AB6A87B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month'!$R$145:$R$164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95B-473F-AE18-E31D7AB6A87B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month'!$R$172:$R$191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95B-473F-AE18-E31D7AB6A87B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month'!$R$199:$R$218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95B-473F-AE18-E31D7AB6A87B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month'!$R$226:$R$245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95B-473F-AE18-E31D7AB6A87B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month'!$R$253:$R$272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95B-473F-AE18-E31D7AB6A87B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month'!$R$280:$R$299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95B-473F-AE18-E31D7AB6A87B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month'!$R$307:$R$326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95B-473F-AE18-E31D7AB6A87B}"/>
            </c:ext>
          </c:extLst>
        </c:ser>
        <c:ser>
          <c:idx val="7"/>
          <c:order val="12"/>
          <c:tx>
            <c:v>Jan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month'!$R$280:$R$299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month'!$W$280:$W$299</c:f>
              <c:numCache>
                <c:formatCode>0.0</c:formatCode>
                <c:ptCount val="20"/>
                <c:pt idx="0">
                  <c:v>-27.198916807824702</c:v>
                </c:pt>
                <c:pt idx="1">
                  <c:v>-28.274457266603179</c:v>
                </c:pt>
                <c:pt idx="2">
                  <c:v>-7.6593188543071165</c:v>
                </c:pt>
                <c:pt idx="3">
                  <c:v>-34.446866984823117</c:v>
                </c:pt>
                <c:pt idx="4">
                  <c:v>-16.892593379946561</c:v>
                </c:pt>
                <c:pt idx="5">
                  <c:v>4.7647580991425684</c:v>
                </c:pt>
                <c:pt idx="6">
                  <c:v>-7.1073164503899875</c:v>
                </c:pt>
                <c:pt idx="7">
                  <c:v>-24.155211185232076</c:v>
                </c:pt>
                <c:pt idx="8">
                  <c:v>-24.019491574233257</c:v>
                </c:pt>
                <c:pt idx="9">
                  <c:v>-23.099967171566448</c:v>
                </c:pt>
                <c:pt idx="10">
                  <c:v>-5.3380030221852621</c:v>
                </c:pt>
                <c:pt idx="11">
                  <c:v>22.685536479131258</c:v>
                </c:pt>
                <c:pt idx="12">
                  <c:v>23.210054640782744</c:v>
                </c:pt>
                <c:pt idx="13">
                  <c:v>26.220955139543719</c:v>
                </c:pt>
                <c:pt idx="14">
                  <c:v>-0.9776111123697433</c:v>
                </c:pt>
                <c:pt idx="15">
                  <c:v>16.817664178567554</c:v>
                </c:pt>
                <c:pt idx="16">
                  <c:v>9.7642929994411816</c:v>
                </c:pt>
                <c:pt idx="17">
                  <c:v>10.129516238676558</c:v>
                </c:pt>
                <c:pt idx="18">
                  <c:v>8.9215762250897228</c:v>
                </c:pt>
                <c:pt idx="19">
                  <c:v>-14.418274652497985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95B-473F-AE18-E31D7AB6A87B}"/>
            </c:ext>
          </c:extLst>
        </c:ser>
        <c:ser>
          <c:idx val="13"/>
          <c:order val="13"/>
          <c:tx>
            <c:v>Feb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month'!$R$307:$R$326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month'!$W$307:$W$326</c:f>
              <c:numCache>
                <c:formatCode>0.0</c:formatCode>
                <c:ptCount val="20"/>
                <c:pt idx="0">
                  <c:v>-33.516288695964704</c:v>
                </c:pt>
                <c:pt idx="1">
                  <c:v>-25.325402965417851</c:v>
                </c:pt>
                <c:pt idx="2">
                  <c:v>-5.9720754139348173</c:v>
                </c:pt>
                <c:pt idx="3">
                  <c:v>-31.776272510009363</c:v>
                </c:pt>
                <c:pt idx="4">
                  <c:v>-14.274016396321429</c:v>
                </c:pt>
                <c:pt idx="5">
                  <c:v>2.1301341982880331</c:v>
                </c:pt>
                <c:pt idx="6">
                  <c:v>-1.340708315959148</c:v>
                </c:pt>
                <c:pt idx="7">
                  <c:v>-20.873215683753358</c:v>
                </c:pt>
                <c:pt idx="8">
                  <c:v>-2.387964755975247</c:v>
                </c:pt>
                <c:pt idx="9">
                  <c:v>-10.732895696595449</c:v>
                </c:pt>
                <c:pt idx="10">
                  <c:v>-6.9226144033638093</c:v>
                </c:pt>
                <c:pt idx="11">
                  <c:v>24.858485567074183</c:v>
                </c:pt>
                <c:pt idx="12">
                  <c:v>23.460916915716894</c:v>
                </c:pt>
                <c:pt idx="13">
                  <c:v>20.918779265720957</c:v>
                </c:pt>
                <c:pt idx="14">
                  <c:v>8.6219781367041151</c:v>
                </c:pt>
                <c:pt idx="15">
                  <c:v>13.842782225634892</c:v>
                </c:pt>
                <c:pt idx="16">
                  <c:v>0.44317003519972786</c:v>
                </c:pt>
                <c:pt idx="17">
                  <c:v>12.856194163980092</c:v>
                </c:pt>
                <c:pt idx="18">
                  <c:v>2.9909658817765603</c:v>
                </c:pt>
                <c:pt idx="19">
                  <c:v>-24.818139885869897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95B-473F-AE18-E31D7AB6A87B}"/>
            </c:ext>
          </c:extLst>
        </c:ser>
        <c:ser>
          <c:idx val="14"/>
          <c:order val="14"/>
          <c:tx>
            <c:v>Mar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month'!$R$12:$R$31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month'!$W$12:$W$31</c:f>
              <c:numCache>
                <c:formatCode>0.0</c:formatCode>
                <c:ptCount val="20"/>
                <c:pt idx="0">
                  <c:v>-31.778500759184055</c:v>
                </c:pt>
                <c:pt idx="1">
                  <c:v>-32.545045015065426</c:v>
                </c:pt>
                <c:pt idx="2">
                  <c:v>-4.6438824761542605</c:v>
                </c:pt>
                <c:pt idx="3">
                  <c:v>-32.735027114068401</c:v>
                </c:pt>
                <c:pt idx="4">
                  <c:v>-14.645847596420992</c:v>
                </c:pt>
                <c:pt idx="5">
                  <c:v>3.2488504795703079</c:v>
                </c:pt>
                <c:pt idx="6">
                  <c:v>-0.54027929486574067</c:v>
                </c:pt>
                <c:pt idx="7">
                  <c:v>-1.1080019412947308</c:v>
                </c:pt>
                <c:pt idx="8">
                  <c:v>-6.8818779605232407</c:v>
                </c:pt>
                <c:pt idx="9">
                  <c:v>-3.7521521728652374</c:v>
                </c:pt>
                <c:pt idx="10">
                  <c:v>-3.0317242230048009</c:v>
                </c:pt>
                <c:pt idx="11">
                  <c:v>23.865747288956356</c:v>
                </c:pt>
                <c:pt idx="12">
                  <c:v>25.614297086673162</c:v>
                </c:pt>
                <c:pt idx="13">
                  <c:v>24.154501090229132</c:v>
                </c:pt>
                <c:pt idx="14">
                  <c:v>4.2355354993731567</c:v>
                </c:pt>
                <c:pt idx="15">
                  <c:v>18.834100379059748</c:v>
                </c:pt>
                <c:pt idx="16">
                  <c:v>11.097402375694912</c:v>
                </c:pt>
                <c:pt idx="17">
                  <c:v>11.161891929594333</c:v>
                </c:pt>
                <c:pt idx="18">
                  <c:v>-1.2021758056882277</c:v>
                </c:pt>
                <c:pt idx="19">
                  <c:v>-26.437647979318115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95B-473F-AE18-E31D7AB6A87B}"/>
            </c:ext>
          </c:extLst>
        </c:ser>
        <c:ser>
          <c:idx val="15"/>
          <c:order val="15"/>
          <c:tx>
            <c:v>Apr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month'!$R$38:$R$57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month'!$W$38:$W$57</c:f>
              <c:numCache>
                <c:formatCode>0.0</c:formatCode>
                <c:ptCount val="20"/>
                <c:pt idx="0">
                  <c:v>-20.737843964977316</c:v>
                </c:pt>
                <c:pt idx="1">
                  <c:v>-15.569496020882696</c:v>
                </c:pt>
                <c:pt idx="2">
                  <c:v>-5.3380861528725063</c:v>
                </c:pt>
                <c:pt idx="3">
                  <c:v>-12.50288947393085</c:v>
                </c:pt>
                <c:pt idx="4">
                  <c:v>-2.1573265739980911</c:v>
                </c:pt>
                <c:pt idx="5">
                  <c:v>6.4958006518945126</c:v>
                </c:pt>
                <c:pt idx="6">
                  <c:v>5.9037475568837294</c:v>
                </c:pt>
                <c:pt idx="7">
                  <c:v>2.5346283970572472</c:v>
                </c:pt>
                <c:pt idx="8">
                  <c:v>-3.1237899108811575</c:v>
                </c:pt>
                <c:pt idx="9">
                  <c:v>-9.9458654637807626</c:v>
                </c:pt>
                <c:pt idx="10">
                  <c:v>-4.4736644103438152</c:v>
                </c:pt>
                <c:pt idx="11">
                  <c:v>24.886242465853741</c:v>
                </c:pt>
                <c:pt idx="12">
                  <c:v>23.245217213881972</c:v>
                </c:pt>
                <c:pt idx="13">
                  <c:v>23.809180646469656</c:v>
                </c:pt>
                <c:pt idx="14">
                  <c:v>6.7139476712785608</c:v>
                </c:pt>
                <c:pt idx="15">
                  <c:v>17.953255365357165</c:v>
                </c:pt>
                <c:pt idx="16">
                  <c:v>5.4089044519890876</c:v>
                </c:pt>
                <c:pt idx="17">
                  <c:v>9.7518809028508144</c:v>
                </c:pt>
                <c:pt idx="18">
                  <c:v>1.8732965765328231</c:v>
                </c:pt>
                <c:pt idx="19">
                  <c:v>-41.117818641941568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95B-473F-AE18-E31D7AB6A87B}"/>
            </c:ext>
          </c:extLst>
        </c:ser>
        <c:ser>
          <c:idx val="16"/>
          <c:order val="16"/>
          <c:tx>
            <c:v>May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month'!$R$64:$R$83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month'!$W$64:$W$83</c:f>
              <c:numCache>
                <c:formatCode>0.0</c:formatCode>
                <c:ptCount val="20"/>
                <c:pt idx="0">
                  <c:v>-10.578310316798877</c:v>
                </c:pt>
                <c:pt idx="1">
                  <c:v>-7.9775229847681999</c:v>
                </c:pt>
                <c:pt idx="2">
                  <c:v>0</c:v>
                </c:pt>
                <c:pt idx="3">
                  <c:v>-2.6334248883174496</c:v>
                </c:pt>
                <c:pt idx="4">
                  <c:v>-10.233958790564543</c:v>
                </c:pt>
                <c:pt idx="5">
                  <c:v>7.5326754726908689</c:v>
                </c:pt>
                <c:pt idx="6">
                  <c:v>8.2487453237890236</c:v>
                </c:pt>
                <c:pt idx="7">
                  <c:v>10.560334605649928</c:v>
                </c:pt>
                <c:pt idx="8">
                  <c:v>14.148127108611732</c:v>
                </c:pt>
                <c:pt idx="9">
                  <c:v>20.046243542664683</c:v>
                </c:pt>
                <c:pt idx="10">
                  <c:v>2.9296641434038975</c:v>
                </c:pt>
                <c:pt idx="11">
                  <c:v>22.974427326062596</c:v>
                </c:pt>
                <c:pt idx="12">
                  <c:v>21.807058724421609</c:v>
                </c:pt>
                <c:pt idx="13">
                  <c:v>23.047266436020323</c:v>
                </c:pt>
                <c:pt idx="14">
                  <c:v>1.6292618385634796</c:v>
                </c:pt>
                <c:pt idx="15">
                  <c:v>6.8044561792294758</c:v>
                </c:pt>
                <c:pt idx="16">
                  <c:v>4.1414692859404454</c:v>
                </c:pt>
                <c:pt idx="17">
                  <c:v>3.019142244496436</c:v>
                </c:pt>
                <c:pt idx="18">
                  <c:v>6.2548327230509244</c:v>
                </c:pt>
                <c:pt idx="19">
                  <c:v>-40.663839183628681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F95B-473F-AE18-E31D7AB6A87B}"/>
            </c:ext>
          </c:extLst>
        </c:ser>
        <c:ser>
          <c:idx val="17"/>
          <c:order val="17"/>
          <c:tx>
            <c:v>Jun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month'!$R$91:$R$110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month'!$W$91:$W$110</c:f>
              <c:numCache>
                <c:formatCode>0.0</c:formatCode>
                <c:ptCount val="20"/>
                <c:pt idx="0">
                  <c:v>-9.4440138739741997E-3</c:v>
                </c:pt>
                <c:pt idx="1">
                  <c:v>5.1511311131592379</c:v>
                </c:pt>
                <c:pt idx="2">
                  <c:v>12</c:v>
                </c:pt>
                <c:pt idx="3">
                  <c:v>3.7536785054836059</c:v>
                </c:pt>
                <c:pt idx="4">
                  <c:v>3.2453754071016192</c:v>
                </c:pt>
                <c:pt idx="5">
                  <c:v>15.515098334220511</c:v>
                </c:pt>
                <c:pt idx="6">
                  <c:v>12.431949960559734</c:v>
                </c:pt>
                <c:pt idx="7">
                  <c:v>11.899192316904589</c:v>
                </c:pt>
                <c:pt idx="8">
                  <c:v>18.668978244988182</c:v>
                </c:pt>
                <c:pt idx="9">
                  <c:v>2.7673395724410739</c:v>
                </c:pt>
                <c:pt idx="10">
                  <c:v>-1.6593072824105661</c:v>
                </c:pt>
                <c:pt idx="11">
                  <c:v>23.865747288956356</c:v>
                </c:pt>
                <c:pt idx="12">
                  <c:v>24.650469665313892</c:v>
                </c:pt>
                <c:pt idx="13">
                  <c:v>20.046210613744961</c:v>
                </c:pt>
                <c:pt idx="14">
                  <c:v>2.2527407224111471</c:v>
                </c:pt>
                <c:pt idx="15">
                  <c:v>2.7825161087330912</c:v>
                </c:pt>
                <c:pt idx="16">
                  <c:v>3.4984373080031332</c:v>
                </c:pt>
                <c:pt idx="17">
                  <c:v>1.1698273151985177</c:v>
                </c:pt>
                <c:pt idx="18">
                  <c:v>1.980399117242996</c:v>
                </c:pt>
                <c:pt idx="19">
                  <c:v>-27.849540516527099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F95B-473F-AE18-E31D7AB6A87B}"/>
            </c:ext>
          </c:extLst>
        </c:ser>
        <c:ser>
          <c:idx val="18"/>
          <c:order val="18"/>
          <c:tx>
            <c:v>Jul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month'!$R$118:$R$137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month'!$W$118:$W$137</c:f>
              <c:numCache>
                <c:formatCode>0.0</c:formatCode>
                <c:ptCount val="20"/>
                <c:pt idx="0">
                  <c:v>2.972117639145381</c:v>
                </c:pt>
                <c:pt idx="1">
                  <c:v>6</c:v>
                </c:pt>
                <c:pt idx="2">
                  <c:v>1.8884459307901125</c:v>
                </c:pt>
                <c:pt idx="3">
                  <c:v>12.444362896029531</c:v>
                </c:pt>
                <c:pt idx="4">
                  <c:v>-0.89710107599626099</c:v>
                </c:pt>
                <c:pt idx="5">
                  <c:v>9.5361936821542486</c:v>
                </c:pt>
                <c:pt idx="6">
                  <c:v>19.721660487137058</c:v>
                </c:pt>
                <c:pt idx="7">
                  <c:v>23.245225455677542</c:v>
                </c:pt>
                <c:pt idx="8">
                  <c:v>14.03418934907063</c:v>
                </c:pt>
                <c:pt idx="9">
                  <c:v>19.86411789445782</c:v>
                </c:pt>
                <c:pt idx="10">
                  <c:v>1.890311121510706</c:v>
                </c:pt>
                <c:pt idx="11">
                  <c:v>22.873946468086956</c:v>
                </c:pt>
                <c:pt idx="12">
                  <c:v>24</c:v>
                </c:pt>
                <c:pt idx="13">
                  <c:v>22.889149381309949</c:v>
                </c:pt>
                <c:pt idx="14">
                  <c:v>5.9039421871248692</c:v>
                </c:pt>
                <c:pt idx="15">
                  <c:v>3.9668815333240559</c:v>
                </c:pt>
                <c:pt idx="16">
                  <c:v>4.9901665399059993</c:v>
                </c:pt>
                <c:pt idx="17">
                  <c:v>5.2927385375423341</c:v>
                </c:pt>
                <c:pt idx="18">
                  <c:v>1.980399117242996</c:v>
                </c:pt>
                <c:pt idx="19">
                  <c:v>-38.318636275933528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F95B-473F-AE18-E31D7AB6A87B}"/>
            </c:ext>
          </c:extLst>
        </c:ser>
        <c:ser>
          <c:idx val="19"/>
          <c:order val="19"/>
          <c:tx>
            <c:v>Aug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month'!$R$145:$R$164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month'!$W$145:$W$164</c:f>
              <c:numCache>
                <c:formatCode>0.0</c:formatCode>
                <c:ptCount val="20"/>
                <c:pt idx="0">
                  <c:v>4</c:v>
                </c:pt>
                <c:pt idx="1">
                  <c:v>7.449670899207149</c:v>
                </c:pt>
                <c:pt idx="2">
                  <c:v>1.9100314632094637</c:v>
                </c:pt>
                <c:pt idx="3">
                  <c:v>7.9769420742566695</c:v>
                </c:pt>
                <c:pt idx="4">
                  <c:v>-0.59409745535782577</c:v>
                </c:pt>
                <c:pt idx="5">
                  <c:v>12.967559227116396</c:v>
                </c:pt>
                <c:pt idx="6">
                  <c:v>16.282581120774807</c:v>
                </c:pt>
                <c:pt idx="7">
                  <c:v>19.005273294482947</c:v>
                </c:pt>
                <c:pt idx="8">
                  <c:v>22.252777914897138</c:v>
                </c:pt>
                <c:pt idx="9">
                  <c:v>10.142136888592745</c:v>
                </c:pt>
                <c:pt idx="10">
                  <c:v>0.94699015643101347</c:v>
                </c:pt>
                <c:pt idx="11">
                  <c:v>23.857870267275359</c:v>
                </c:pt>
                <c:pt idx="12">
                  <c:v>24.142784439264631</c:v>
                </c:pt>
                <c:pt idx="13">
                  <c:v>22.68553891214026</c:v>
                </c:pt>
                <c:pt idx="14">
                  <c:v>5.9698241383794652</c:v>
                </c:pt>
                <c:pt idx="15">
                  <c:v>7.9386326309105471</c:v>
                </c:pt>
                <c:pt idx="16">
                  <c:v>5.5938272732667542</c:v>
                </c:pt>
                <c:pt idx="17">
                  <c:v>3.5420639910029763</c:v>
                </c:pt>
                <c:pt idx="18">
                  <c:v>-0.37039838289064164</c:v>
                </c:pt>
                <c:pt idx="19">
                  <c:v>-39.15406298814051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F95B-473F-AE18-E31D7AB6A87B}"/>
            </c:ext>
          </c:extLst>
        </c:ser>
        <c:ser>
          <c:idx val="20"/>
          <c:order val="20"/>
          <c:tx>
            <c:v>Sep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month'!$R$172:$R$191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month'!$W$172:$W$191</c:f>
              <c:numCache>
                <c:formatCode>0.0</c:formatCode>
                <c:ptCount val="20"/>
                <c:pt idx="0">
                  <c:v>-4.9793684653281503</c:v>
                </c:pt>
                <c:pt idx="1">
                  <c:v>-1.1080270365845877</c:v>
                </c:pt>
                <c:pt idx="2">
                  <c:v>-1.8787836756166598</c:v>
                </c:pt>
                <c:pt idx="3">
                  <c:v>-1.8787801659773322</c:v>
                </c:pt>
                <c:pt idx="4">
                  <c:v>-5.7986085139749548</c:v>
                </c:pt>
                <c:pt idx="5">
                  <c:v>8.4313799612809817</c:v>
                </c:pt>
                <c:pt idx="6">
                  <c:v>12.387401883254086</c:v>
                </c:pt>
                <c:pt idx="7">
                  <c:v>14.095106687097541</c:v>
                </c:pt>
                <c:pt idx="8">
                  <c:v>12.280065218639606</c:v>
                </c:pt>
                <c:pt idx="9">
                  <c:v>7.8714346897256746</c:v>
                </c:pt>
                <c:pt idx="10">
                  <c:v>-0.53647485187673283</c:v>
                </c:pt>
                <c:pt idx="11">
                  <c:v>22.685536479131258</c:v>
                </c:pt>
                <c:pt idx="12">
                  <c:v>24.434403190280477</c:v>
                </c:pt>
                <c:pt idx="13">
                  <c:v>22.68553891214026</c:v>
                </c:pt>
                <c:pt idx="14">
                  <c:v>7.4245672366573103</c:v>
                </c:pt>
                <c:pt idx="15">
                  <c:v>7.9301028506714601</c:v>
                </c:pt>
                <c:pt idx="16">
                  <c:v>6.7136770541711712</c:v>
                </c:pt>
                <c:pt idx="17">
                  <c:v>1.9501509966503932</c:v>
                </c:pt>
                <c:pt idx="18">
                  <c:v>7.5534060948411366</c:v>
                </c:pt>
                <c:pt idx="19">
                  <c:v>-27.222956823380173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F95B-473F-AE18-E31D7AB6A87B}"/>
            </c:ext>
          </c:extLst>
        </c:ser>
        <c:ser>
          <c:idx val="21"/>
          <c:order val="21"/>
          <c:tx>
            <c:v>Oct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month'!$R$199:$R$218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month'!$W$199:$W$218</c:f>
              <c:numCache>
                <c:formatCode>0.0</c:formatCode>
                <c:ptCount val="20"/>
                <c:pt idx="0">
                  <c:v>-6.888135333350192</c:v>
                </c:pt>
                <c:pt idx="1">
                  <c:v>-11.559615937096225</c:v>
                </c:pt>
                <c:pt idx="2">
                  <c:v>-4.4663324529932993</c:v>
                </c:pt>
                <c:pt idx="3">
                  <c:v>-1.8203210126692397</c:v>
                </c:pt>
                <c:pt idx="4">
                  <c:v>-4.5503891827467555</c:v>
                </c:pt>
                <c:pt idx="5">
                  <c:v>8.4922118255280452</c:v>
                </c:pt>
                <c:pt idx="6">
                  <c:v>13.53170137274418</c:v>
                </c:pt>
                <c:pt idx="7">
                  <c:v>-2.9450254529300537</c:v>
                </c:pt>
                <c:pt idx="8">
                  <c:v>9.0799330487972156</c:v>
                </c:pt>
                <c:pt idx="9">
                  <c:v>7.1474790967158697E-3</c:v>
                </c:pt>
                <c:pt idx="10">
                  <c:v>6.732810516759173</c:v>
                </c:pt>
                <c:pt idx="11">
                  <c:v>24.841722175667996</c:v>
                </c:pt>
                <c:pt idx="12">
                  <c:v>24.231937171916343</c:v>
                </c:pt>
                <c:pt idx="13">
                  <c:v>23.047266436020323</c:v>
                </c:pt>
                <c:pt idx="14">
                  <c:v>7.7972372443556992</c:v>
                </c:pt>
                <c:pt idx="15">
                  <c:v>15.805814246659224</c:v>
                </c:pt>
                <c:pt idx="16">
                  <c:v>11.576506800746017</c:v>
                </c:pt>
                <c:pt idx="17">
                  <c:v>5.4741693426582287</c:v>
                </c:pt>
                <c:pt idx="18">
                  <c:v>-2.1978917931827482</c:v>
                </c:pt>
                <c:pt idx="19">
                  <c:v>-21.516263895319298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F95B-473F-AE18-E31D7AB6A87B}"/>
            </c:ext>
          </c:extLst>
        </c:ser>
        <c:ser>
          <c:idx val="22"/>
          <c:order val="22"/>
          <c:tx>
            <c:v>Nov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month'!$R$226:$R$245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month'!$W$226:$W$245</c:f>
              <c:numCache>
                <c:formatCode>0.0</c:formatCode>
                <c:ptCount val="20"/>
                <c:pt idx="0">
                  <c:v>-27.718333157002974</c:v>
                </c:pt>
                <c:pt idx="1">
                  <c:v>-29.087351921288217</c:v>
                </c:pt>
                <c:pt idx="2">
                  <c:v>-8.4705358828408066</c:v>
                </c:pt>
                <c:pt idx="3">
                  <c:v>-29.424220174894003</c:v>
                </c:pt>
                <c:pt idx="4">
                  <c:v>-19.190284050665127</c:v>
                </c:pt>
                <c:pt idx="5">
                  <c:v>2.7153061202465665</c:v>
                </c:pt>
                <c:pt idx="6">
                  <c:v>6.7866160896424503</c:v>
                </c:pt>
                <c:pt idx="7">
                  <c:v>-8.4652357551162254</c:v>
                </c:pt>
                <c:pt idx="8">
                  <c:v>1.8412122066744701</c:v>
                </c:pt>
                <c:pt idx="9">
                  <c:v>-7.0719178926690915</c:v>
                </c:pt>
                <c:pt idx="10">
                  <c:v>2.9755454478851675</c:v>
                </c:pt>
                <c:pt idx="11">
                  <c:v>22.873946468086956</c:v>
                </c:pt>
                <c:pt idx="12">
                  <c:v>23.255217653904424</c:v>
                </c:pt>
                <c:pt idx="13">
                  <c:v>22.020080994106252</c:v>
                </c:pt>
                <c:pt idx="14">
                  <c:v>8.9201606836980432</c:v>
                </c:pt>
                <c:pt idx="15">
                  <c:v>17.812112847140043</c:v>
                </c:pt>
                <c:pt idx="16">
                  <c:v>9.0262810853712949</c:v>
                </c:pt>
                <c:pt idx="17">
                  <c:v>8.9222947264239565</c:v>
                </c:pt>
                <c:pt idx="18">
                  <c:v>-2.7624425265172476</c:v>
                </c:pt>
                <c:pt idx="19">
                  <c:v>-17.076476850890515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F95B-473F-AE18-E31D7AB6A87B}"/>
            </c:ext>
          </c:extLst>
        </c:ser>
        <c:ser>
          <c:idx val="23"/>
          <c:order val="23"/>
          <c:tx>
            <c:v>Dec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month'!$R$253:$R$272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month'!$W$253:$W$272</c:f>
              <c:numCache>
                <c:formatCode>0.0</c:formatCode>
                <c:ptCount val="20"/>
                <c:pt idx="0">
                  <c:v>-26.577979792419796</c:v>
                </c:pt>
                <c:pt idx="1">
                  <c:v>-30.972548117432467</c:v>
                </c:pt>
                <c:pt idx="2">
                  <c:v>-9.6893221053334742</c:v>
                </c:pt>
                <c:pt idx="3">
                  <c:v>-16.876277892325902</c:v>
                </c:pt>
                <c:pt idx="4">
                  <c:v>-15.083669096119195</c:v>
                </c:pt>
                <c:pt idx="5">
                  <c:v>0.53440234145188015</c:v>
                </c:pt>
                <c:pt idx="6">
                  <c:v>3.8388789949131024</c:v>
                </c:pt>
                <c:pt idx="7">
                  <c:v>-28.963764276648192</c:v>
                </c:pt>
                <c:pt idx="8">
                  <c:v>-10.766134999197391</c:v>
                </c:pt>
                <c:pt idx="9">
                  <c:v>-11.432310504737814</c:v>
                </c:pt>
                <c:pt idx="10">
                  <c:v>0.16157962957242944</c:v>
                </c:pt>
                <c:pt idx="11">
                  <c:v>25.74314830108051</c:v>
                </c:pt>
                <c:pt idx="12">
                  <c:v>23.668041072725146</c:v>
                </c:pt>
                <c:pt idx="13">
                  <c:v>22.709699645301782</c:v>
                </c:pt>
                <c:pt idx="14">
                  <c:v>10.253127462711404</c:v>
                </c:pt>
                <c:pt idx="15">
                  <c:v>17.812112847140043</c:v>
                </c:pt>
                <c:pt idx="16">
                  <c:v>2.545427278739794</c:v>
                </c:pt>
                <c:pt idx="17">
                  <c:v>11</c:v>
                </c:pt>
                <c:pt idx="18">
                  <c:v>6.221547654794449</c:v>
                </c:pt>
                <c:pt idx="19">
                  <c:v>-6.5292503829426209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F95B-473F-AE18-E31D7AB6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ratio, grams of water per kg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Enthalpy of dry air vs.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1"/>
          <c:order val="0"/>
          <c:tx>
            <c:v>Base line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283-4CDC-A4A6-C9423AE7F5E4}"/>
            </c:ext>
          </c:extLst>
        </c:ser>
        <c:ser>
          <c:idx val="13"/>
          <c:order val="1"/>
          <c:tx>
            <c:v>Mar Ha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month'!$AH$12:$AH$31</c:f>
              <c:numCache>
                <c:formatCode>0.0</c:formatCode>
                <c:ptCount val="20"/>
                <c:pt idx="0">
                  <c:v>6.8295579254428276</c:v>
                </c:pt>
                <c:pt idx="1">
                  <c:v>7.8356498915985036</c:v>
                </c:pt>
                <c:pt idx="2">
                  <c:v>34.988871848988794</c:v>
                </c:pt>
                <c:pt idx="3">
                  <c:v>6.8293074140485075</c:v>
                </c:pt>
                <c:pt idx="4">
                  <c:v>41.034758948623498</c:v>
                </c:pt>
                <c:pt idx="5">
                  <c:v>44.041281917462868</c:v>
                </c:pt>
                <c:pt idx="6">
                  <c:v>42.033370718724925</c:v>
                </c:pt>
                <c:pt idx="7">
                  <c:v>39.016350266062915</c:v>
                </c:pt>
                <c:pt idx="8">
                  <c:v>34.990454498285963</c:v>
                </c:pt>
                <c:pt idx="9">
                  <c:v>38.014162557726934</c:v>
                </c:pt>
                <c:pt idx="10">
                  <c:v>55.112074608275975</c:v>
                </c:pt>
                <c:pt idx="11">
                  <c:v>64.166135458840742</c:v>
                </c:pt>
                <c:pt idx="12">
                  <c:v>66.178492397226094</c:v>
                </c:pt>
                <c:pt idx="13">
                  <c:v>68.19326798074411</c:v>
                </c:pt>
                <c:pt idx="14">
                  <c:v>48.081138723084294</c:v>
                </c:pt>
                <c:pt idx="15">
                  <c:v>57.12232448518543</c:v>
                </c:pt>
                <c:pt idx="16">
                  <c:v>55.108341303226403</c:v>
                </c:pt>
                <c:pt idx="17">
                  <c:v>51.083600017111195</c:v>
                </c:pt>
                <c:pt idx="18">
                  <c:v>40.018049622129652</c:v>
                </c:pt>
                <c:pt idx="19">
                  <c:v>13.868599437601226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1283-4CDC-A4A6-C9423AE7F5E4}"/>
            </c:ext>
          </c:extLst>
        </c:ser>
        <c:ser>
          <c:idx val="0"/>
          <c:order val="2"/>
          <c:tx>
            <c:v>Apr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month'!$AH$38:$AH$57</c:f>
              <c:numCache>
                <c:formatCode>0.0</c:formatCode>
                <c:ptCount val="20"/>
                <c:pt idx="0">
                  <c:v>19.097883423186637</c:v>
                </c:pt>
                <c:pt idx="1">
                  <c:v>24.126652362697101</c:v>
                </c:pt>
                <c:pt idx="2">
                  <c:v>46.253631127299919</c:v>
                </c:pt>
                <c:pt idx="3">
                  <c:v>29.15467090621825</c:v>
                </c:pt>
                <c:pt idx="4">
                  <c:v>44.252279987611573</c:v>
                </c:pt>
                <c:pt idx="5">
                  <c:v>49.271307599757336</c:v>
                </c:pt>
                <c:pt idx="6">
                  <c:v>55.311729271962442</c:v>
                </c:pt>
                <c:pt idx="7">
                  <c:v>52.29377592484137</c:v>
                </c:pt>
                <c:pt idx="8">
                  <c:v>35.190454498285966</c:v>
                </c:pt>
                <c:pt idx="9">
                  <c:v>39.219954565899165</c:v>
                </c:pt>
                <c:pt idx="10">
                  <c:v>76.44969085104465</c:v>
                </c:pt>
                <c:pt idx="11">
                  <c:v>68.392449726479057</c:v>
                </c:pt>
                <c:pt idx="12">
                  <c:v>62.352450641153382</c:v>
                </c:pt>
                <c:pt idx="13">
                  <c:v>69.399936526818692</c:v>
                </c:pt>
                <c:pt idx="14">
                  <c:v>57.335500117472264</c:v>
                </c:pt>
                <c:pt idx="15">
                  <c:v>57.322324485185433</c:v>
                </c:pt>
                <c:pt idx="16">
                  <c:v>49.271520699860105</c:v>
                </c:pt>
                <c:pt idx="17">
                  <c:v>48.265380398207043</c:v>
                </c:pt>
                <c:pt idx="18">
                  <c:v>41.22393295975067</c:v>
                </c:pt>
                <c:pt idx="19">
                  <c:v>-1.1710458360639109E-2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1283-4CDC-A4A6-C9423AE7F5E4}"/>
            </c:ext>
          </c:extLst>
        </c:ser>
        <c:ser>
          <c:idx val="1"/>
          <c:order val="3"/>
          <c:tx>
            <c:v>May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month'!$AH$64:$AH$83</c:f>
              <c:numCache>
                <c:formatCode>0.0</c:formatCode>
                <c:ptCount val="20"/>
                <c:pt idx="0">
                  <c:v>29.960617046679655</c:v>
                </c:pt>
                <c:pt idx="1">
                  <c:v>32.978187508818031</c:v>
                </c:pt>
                <c:pt idx="2">
                  <c:v>37.000498258729678</c:v>
                </c:pt>
                <c:pt idx="3">
                  <c:v>53.096463365220764</c:v>
                </c:pt>
                <c:pt idx="4">
                  <c:v>53.106046216633175</c:v>
                </c:pt>
                <c:pt idx="5">
                  <c:v>51.083480008708101</c:v>
                </c:pt>
                <c:pt idx="6">
                  <c:v>53.099399457217466</c:v>
                </c:pt>
                <c:pt idx="7">
                  <c:v>56.118422678439607</c:v>
                </c:pt>
                <c:pt idx="8">
                  <c:v>67.186665193326888</c:v>
                </c:pt>
                <c:pt idx="9">
                  <c:v>62.159343312963713</c:v>
                </c:pt>
                <c:pt idx="10">
                  <c:v>74.235831898650275</c:v>
                </c:pt>
                <c:pt idx="11">
                  <c:v>61.146779875597815</c:v>
                </c:pt>
                <c:pt idx="12">
                  <c:v>60.139638659106453</c:v>
                </c:pt>
                <c:pt idx="13">
                  <c:v>64.166977826249763</c:v>
                </c:pt>
                <c:pt idx="14">
                  <c:v>51.099013873962136</c:v>
                </c:pt>
                <c:pt idx="15">
                  <c:v>50.079159944338677</c:v>
                </c:pt>
                <c:pt idx="16">
                  <c:v>44.041503040580984</c:v>
                </c:pt>
                <c:pt idx="17">
                  <c:v>42.029545614092228</c:v>
                </c:pt>
                <c:pt idx="18">
                  <c:v>44.041692456587114</c:v>
                </c:pt>
                <c:pt idx="19">
                  <c:v>3.8114085100513577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1283-4CDC-A4A6-C9423AE7F5E4}"/>
            </c:ext>
          </c:extLst>
        </c:ser>
        <c:ser>
          <c:idx val="2"/>
          <c:order val="4"/>
          <c:tx>
            <c:v>Jun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month'!$AH$91:$AH$110</c:f>
              <c:numCache>
                <c:formatCode>0.0</c:formatCode>
                <c:ptCount val="20"/>
                <c:pt idx="0">
                  <c:v>42.030378129991867</c:v>
                </c:pt>
                <c:pt idx="1">
                  <c:v>44.042512000796577</c:v>
                </c:pt>
                <c:pt idx="2">
                  <c:v>49.07170324329627</c:v>
                </c:pt>
                <c:pt idx="3">
                  <c:v>49.072037633606442</c:v>
                </c:pt>
                <c:pt idx="4">
                  <c:v>58.136850503451967</c:v>
                </c:pt>
                <c:pt idx="5">
                  <c:v>70.205108113639369</c:v>
                </c:pt>
                <c:pt idx="6">
                  <c:v>58.130442753305154</c:v>
                </c:pt>
                <c:pt idx="7">
                  <c:v>58.13092124179223</c:v>
                </c:pt>
                <c:pt idx="8">
                  <c:v>63.160524585980539</c:v>
                </c:pt>
                <c:pt idx="9">
                  <c:v>53.103145559486222</c:v>
                </c:pt>
                <c:pt idx="10">
                  <c:v>71.215372976637212</c:v>
                </c:pt>
                <c:pt idx="11">
                  <c:v>64.166135458840742</c:v>
                </c:pt>
                <c:pt idx="12">
                  <c:v>64.165399741037803</c:v>
                </c:pt>
                <c:pt idx="13">
                  <c:v>62.154051863275782</c:v>
                </c:pt>
                <c:pt idx="14">
                  <c:v>45.063480929663264</c:v>
                </c:pt>
                <c:pt idx="15">
                  <c:v>58.1286060149435</c:v>
                </c:pt>
                <c:pt idx="16">
                  <c:v>42.029641779601533</c:v>
                </c:pt>
                <c:pt idx="17">
                  <c:v>45.047369304574133</c:v>
                </c:pt>
                <c:pt idx="18">
                  <c:v>40.018049622129652</c:v>
                </c:pt>
                <c:pt idx="19">
                  <c:v>18.89704572903883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1283-4CDC-A4A6-C9423AE7F5E4}"/>
            </c:ext>
          </c:extLst>
        </c:ser>
        <c:ser>
          <c:idx val="4"/>
          <c:order val="5"/>
          <c:tx>
            <c:v>Aug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month'!$AH$145:$AH$164</c:f>
              <c:numCache>
                <c:formatCode>0.0</c:formatCode>
                <c:ptCount val="20"/>
                <c:pt idx="0">
                  <c:v>41.024481121624817</c:v>
                </c:pt>
                <c:pt idx="1">
                  <c:v>46.054438625830443</c:v>
                </c:pt>
                <c:pt idx="2">
                  <c:v>43.035753601052555</c:v>
                </c:pt>
                <c:pt idx="3">
                  <c:v>51.084199369259956</c:v>
                </c:pt>
                <c:pt idx="4">
                  <c:v>59.143103205926259</c:v>
                </c:pt>
                <c:pt idx="5">
                  <c:v>56.114371475535762</c:v>
                </c:pt>
                <c:pt idx="6">
                  <c:v>59.136742089695176</c:v>
                </c:pt>
                <c:pt idx="7">
                  <c:v>57.12465670095024</c:v>
                </c:pt>
                <c:pt idx="8">
                  <c:v>65.173521312118254</c:v>
                </c:pt>
                <c:pt idx="9">
                  <c:v>57.127812595688454</c:v>
                </c:pt>
                <c:pt idx="10">
                  <c:v>73.228969139756856</c:v>
                </c:pt>
                <c:pt idx="11">
                  <c:v>63.159648738837987</c:v>
                </c:pt>
                <c:pt idx="12">
                  <c:v>62.152450641153379</c:v>
                </c:pt>
                <c:pt idx="13">
                  <c:v>62.154051863275782</c:v>
                </c:pt>
                <c:pt idx="14">
                  <c:v>47.075229671431174</c:v>
                </c:pt>
                <c:pt idx="15">
                  <c:v>47.061049273887029</c:v>
                </c:pt>
                <c:pt idx="16">
                  <c:v>53.09596142150653</c:v>
                </c:pt>
                <c:pt idx="17">
                  <c:v>48.06538039820704</c:v>
                </c:pt>
                <c:pt idx="18">
                  <c:v>37.000498258729678</c:v>
                </c:pt>
                <c:pt idx="19">
                  <c:v>3.8114085100513577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1283-4CDC-A4A6-C9423AE7F5E4}"/>
            </c:ext>
          </c:extLst>
        </c:ser>
        <c:ser>
          <c:idx val="5"/>
          <c:order val="6"/>
          <c:tx>
            <c:v>Sep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month'!$AH$172:$AH$191</c:f>
              <c:numCache>
                <c:formatCode>0.0</c:formatCode>
                <c:ptCount val="20"/>
                <c:pt idx="0">
                  <c:v>32.977879807584863</c:v>
                </c:pt>
                <c:pt idx="1">
                  <c:v>39.013033818196789</c:v>
                </c:pt>
                <c:pt idx="2">
                  <c:v>40.018049622129652</c:v>
                </c:pt>
                <c:pt idx="3">
                  <c:v>40.018407067438041</c:v>
                </c:pt>
                <c:pt idx="4">
                  <c:v>52.099971689133604</c:v>
                </c:pt>
                <c:pt idx="5">
                  <c:v>61.146000024084159</c:v>
                </c:pt>
                <c:pt idx="6">
                  <c:v>51.087178935387087</c:v>
                </c:pt>
                <c:pt idx="7">
                  <c:v>54.106043016232022</c:v>
                </c:pt>
                <c:pt idx="8">
                  <c:v>56.116102095736039</c:v>
                </c:pt>
                <c:pt idx="9">
                  <c:v>50.084937340206793</c:v>
                </c:pt>
                <c:pt idx="10">
                  <c:v>68.195289916013394</c:v>
                </c:pt>
                <c:pt idx="11">
                  <c:v>62.153197145646878</c:v>
                </c:pt>
                <c:pt idx="12">
                  <c:v>65.171927721369173</c:v>
                </c:pt>
                <c:pt idx="13">
                  <c:v>62.154051863275782</c:v>
                </c:pt>
                <c:pt idx="14">
                  <c:v>47.075229671431174</c:v>
                </c:pt>
                <c:pt idx="15">
                  <c:v>46.055058409221132</c:v>
                </c:pt>
                <c:pt idx="16">
                  <c:v>57.120835978874098</c:v>
                </c:pt>
                <c:pt idx="17">
                  <c:v>51.083600017111195</c:v>
                </c:pt>
                <c:pt idx="18">
                  <c:v>45.047651372221068</c:v>
                </c:pt>
                <c:pt idx="19">
                  <c:v>16.88566948514838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1283-4CDC-A4A6-C9423AE7F5E4}"/>
            </c:ext>
          </c:extLst>
        </c:ser>
        <c:ser>
          <c:idx val="6"/>
          <c:order val="7"/>
          <c:tx>
            <c:v>Oct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month'!$AH$199:$AH$218</c:f>
              <c:numCache>
                <c:formatCode>0.0</c:formatCode>
                <c:ptCount val="20"/>
                <c:pt idx="0">
                  <c:v>31.972114955640748</c:v>
                </c:pt>
                <c:pt idx="1">
                  <c:v>26.943760212699196</c:v>
                </c:pt>
                <c:pt idx="2">
                  <c:v>38.006333043489512</c:v>
                </c:pt>
                <c:pt idx="3">
                  <c:v>37.000863794029101</c:v>
                </c:pt>
                <c:pt idx="4">
                  <c:v>47.069987609054465</c:v>
                </c:pt>
                <c:pt idx="5">
                  <c:v>53.095754500899972</c:v>
                </c:pt>
                <c:pt idx="6">
                  <c:v>51.087178935387087</c:v>
                </c:pt>
                <c:pt idx="7">
                  <c:v>35.998939569255462</c:v>
                </c:pt>
                <c:pt idx="8">
                  <c:v>47.061080003862003</c:v>
                </c:pt>
                <c:pt idx="9">
                  <c:v>45.055083913160054</c:v>
                </c:pt>
                <c:pt idx="10">
                  <c:v>65.175560820631972</c:v>
                </c:pt>
                <c:pt idx="11">
                  <c:v>64.166135458840742</c:v>
                </c:pt>
                <c:pt idx="12">
                  <c:v>63.158907649455458</c:v>
                </c:pt>
                <c:pt idx="13">
                  <c:v>64.166977826249763</c:v>
                </c:pt>
                <c:pt idx="14">
                  <c:v>59.147903191230597</c:v>
                </c:pt>
                <c:pt idx="15">
                  <c:v>55.109851765260686</c:v>
                </c:pt>
                <c:pt idx="16">
                  <c:v>53.09596142150653</c:v>
                </c:pt>
                <c:pt idx="17">
                  <c:v>44.04140829170283</c:v>
                </c:pt>
                <c:pt idx="18">
                  <c:v>50.07777417713924</c:v>
                </c:pt>
                <c:pt idx="19">
                  <c:v>19.902734954317509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1283-4CDC-A4A6-C9423AE7F5E4}"/>
            </c:ext>
          </c:extLst>
        </c:ser>
        <c:ser>
          <c:idx val="7"/>
          <c:order val="8"/>
          <c:tx>
            <c:v>Nov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month'!$AH$226:$AH$245</c:f>
              <c:numCache>
                <c:formatCode>0.0</c:formatCode>
                <c:ptCount val="20"/>
                <c:pt idx="0">
                  <c:v>11.858091073125589</c:v>
                </c:pt>
                <c:pt idx="1">
                  <c:v>10.852759689160706</c:v>
                </c:pt>
                <c:pt idx="2">
                  <c:v>32.977297868560839</c:v>
                </c:pt>
                <c:pt idx="3">
                  <c:v>9.8464507586990813</c:v>
                </c:pt>
                <c:pt idx="4">
                  <c:v>29.9717773342378</c:v>
                </c:pt>
                <c:pt idx="5">
                  <c:v>40.017626700282698</c:v>
                </c:pt>
                <c:pt idx="6">
                  <c:v>46.057064504095095</c:v>
                </c:pt>
                <c:pt idx="7">
                  <c:v>29.964479753316134</c:v>
                </c:pt>
                <c:pt idx="8">
                  <c:v>42.031336148153166</c:v>
                </c:pt>
                <c:pt idx="9">
                  <c:v>37.008386470681778</c:v>
                </c:pt>
                <c:pt idx="10">
                  <c:v>65.175560820631972</c:v>
                </c:pt>
                <c:pt idx="11">
                  <c:v>62.153197145646878</c:v>
                </c:pt>
                <c:pt idx="12">
                  <c:v>64.165399741037803</c:v>
                </c:pt>
                <c:pt idx="13">
                  <c:v>65.173494377162612</c:v>
                </c:pt>
                <c:pt idx="14">
                  <c:v>64.179497796962764</c:v>
                </c:pt>
                <c:pt idx="15">
                  <c:v>58.1286060149435</c:v>
                </c:pt>
                <c:pt idx="16">
                  <c:v>49.071520699860102</c:v>
                </c:pt>
                <c:pt idx="17">
                  <c:v>48.06538039820704</c:v>
                </c:pt>
                <c:pt idx="18">
                  <c:v>48.06565628005032</c:v>
                </c:pt>
                <c:pt idx="19">
                  <c:v>27.948374248165244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1283-4CDC-A4A6-C9423AE7F5E4}"/>
            </c:ext>
          </c:extLst>
        </c:ser>
        <c:ser>
          <c:idx val="8"/>
          <c:order val="9"/>
          <c:tx>
            <c:v>Dec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month'!$AH$253:$AH$272</c:f>
              <c:numCache>
                <c:formatCode>0.0</c:formatCode>
                <c:ptCount val="20"/>
                <c:pt idx="0">
                  <c:v>13.869469998170452</c:v>
                </c:pt>
                <c:pt idx="1">
                  <c:v>10.852759689160706</c:v>
                </c:pt>
                <c:pt idx="2">
                  <c:v>29.960021816022348</c:v>
                </c:pt>
                <c:pt idx="3">
                  <c:v>21.914714937790649</c:v>
                </c:pt>
                <c:pt idx="4">
                  <c:v>25.949230227509013</c:v>
                </c:pt>
                <c:pt idx="5">
                  <c:v>39.01175715605762</c:v>
                </c:pt>
                <c:pt idx="6">
                  <c:v>43.039264131310581</c:v>
                </c:pt>
                <c:pt idx="7">
                  <c:v>16.890784778577174</c:v>
                </c:pt>
                <c:pt idx="8">
                  <c:v>33.984673248582475</c:v>
                </c:pt>
                <c:pt idx="9">
                  <c:v>26.951333909453183</c:v>
                </c:pt>
                <c:pt idx="10">
                  <c:v>60.143406447250428</c:v>
                </c:pt>
                <c:pt idx="11">
                  <c:v>67.185814436208076</c:v>
                </c:pt>
                <c:pt idx="12">
                  <c:v>63.158907649455458</c:v>
                </c:pt>
                <c:pt idx="13">
                  <c:v>65.173494377162612</c:v>
                </c:pt>
                <c:pt idx="14">
                  <c:v>64.179497796962764</c:v>
                </c:pt>
                <c:pt idx="15">
                  <c:v>58.1286060149435</c:v>
                </c:pt>
                <c:pt idx="16">
                  <c:v>50.077592973719327</c:v>
                </c:pt>
                <c:pt idx="17">
                  <c:v>48.06538039820704</c:v>
                </c:pt>
                <c:pt idx="18">
                  <c:v>55.108515971982897</c:v>
                </c:pt>
                <c:pt idx="19">
                  <c:v>33.982908630538617</c:v>
                </c:pt>
              </c:numCache>
            </c:numRef>
          </c:xVal>
          <c:yVal>
            <c:numRef>
              <c:f>'21st of month'!$H$253:$H$271</c:f>
              <c:numCache>
                <c:formatCode>General</c:formatCode>
                <c:ptCount val="19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1283-4CDC-A4A6-C9423AE7F5E4}"/>
            </c:ext>
          </c:extLst>
        </c:ser>
        <c:ser>
          <c:idx val="9"/>
          <c:order val="10"/>
          <c:tx>
            <c:v>Jan 22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month'!$AH$280:$AH$299</c:f>
              <c:numCache>
                <c:formatCode>0.0</c:formatCode>
                <c:ptCount val="20"/>
                <c:pt idx="0">
                  <c:v>9.8466954756773823</c:v>
                </c:pt>
                <c:pt idx="1">
                  <c:v>12.864140616710266</c:v>
                </c:pt>
                <c:pt idx="2">
                  <c:v>32.977297868560839</c:v>
                </c:pt>
                <c:pt idx="3">
                  <c:v>4.8178403561759708</c:v>
                </c:pt>
                <c:pt idx="4">
                  <c:v>29.9717773342378</c:v>
                </c:pt>
                <c:pt idx="5">
                  <c:v>45.047243863022935</c:v>
                </c:pt>
                <c:pt idx="6">
                  <c:v>38.009976662781085</c:v>
                </c:pt>
                <c:pt idx="7">
                  <c:v>22.924701710959241</c:v>
                </c:pt>
                <c:pt idx="8">
                  <c:v>14.876330128071036</c:v>
                </c:pt>
                <c:pt idx="9">
                  <c:v>16.895041893878254</c:v>
                </c:pt>
                <c:pt idx="10">
                  <c:v>46.057433491760001</c:v>
                </c:pt>
                <c:pt idx="11">
                  <c:v>62.153197145646878</c:v>
                </c:pt>
                <c:pt idx="12">
                  <c:v>66.178492397226094</c:v>
                </c:pt>
                <c:pt idx="13">
                  <c:v>66.180047714944749</c:v>
                </c:pt>
                <c:pt idx="14">
                  <c:v>53.111061729215841</c:v>
                </c:pt>
                <c:pt idx="15">
                  <c:v>58.1286060149435</c:v>
                </c:pt>
                <c:pt idx="16">
                  <c:v>60.139807154626951</c:v>
                </c:pt>
                <c:pt idx="17">
                  <c:v>55.108253931166381</c:v>
                </c:pt>
                <c:pt idx="18">
                  <c:v>47.059632502543856</c:v>
                </c:pt>
                <c:pt idx="19">
                  <c:v>35.994510588559208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1283-4CDC-A4A6-C9423AE7F5E4}"/>
            </c:ext>
          </c:extLst>
        </c:ser>
        <c:ser>
          <c:idx val="10"/>
          <c:order val="11"/>
          <c:tx>
            <c:v>Feb 22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month'!$AH$307:$AH$326</c:f>
              <c:numCache>
                <c:formatCode>0.0</c:formatCode>
                <c:ptCount val="20"/>
                <c:pt idx="0">
                  <c:v>6.8295579254428276</c:v>
                </c:pt>
                <c:pt idx="1">
                  <c:v>14.875507942383148</c:v>
                </c:pt>
                <c:pt idx="2">
                  <c:v>31.971528625327004</c:v>
                </c:pt>
                <c:pt idx="3">
                  <c:v>9.8464507586990813</c:v>
                </c:pt>
                <c:pt idx="4">
                  <c:v>26.954854504208985</c:v>
                </c:pt>
                <c:pt idx="5">
                  <c:v>40.017626700282698</c:v>
                </c:pt>
                <c:pt idx="6">
                  <c:v>49.075061407219302</c:v>
                </c:pt>
                <c:pt idx="7">
                  <c:v>18.902083070927059</c:v>
                </c:pt>
                <c:pt idx="8">
                  <c:v>39.013719275256108</c:v>
                </c:pt>
                <c:pt idx="9">
                  <c:v>29.96833566739064</c:v>
                </c:pt>
                <c:pt idx="10">
                  <c:v>65.175560820631972</c:v>
                </c:pt>
                <c:pt idx="11">
                  <c:v>67.185814436208076</c:v>
                </c:pt>
                <c:pt idx="12">
                  <c:v>64.165399741037803</c:v>
                </c:pt>
                <c:pt idx="13">
                  <c:v>69.199936526818703</c:v>
                </c:pt>
                <c:pt idx="14">
                  <c:v>51.099013873962136</c:v>
                </c:pt>
                <c:pt idx="15">
                  <c:v>61.147640843649611</c:v>
                </c:pt>
                <c:pt idx="16">
                  <c:v>49.071520699860102</c:v>
                </c:pt>
                <c:pt idx="17">
                  <c:v>52.089723229160256</c:v>
                </c:pt>
                <c:pt idx="18">
                  <c:v>43.035753601052555</c:v>
                </c:pt>
                <c:pt idx="19">
                  <c:v>21.914119354101963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1283-4CDC-A4A6-C9423AE7F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40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="1" i="0" baseline="0">
                    <a:latin typeface="Arial" panose="020B0604020202020204" pitchFamily="34" charset="0"/>
                  </a:rPr>
                  <a:t>Enthalpy, kilojoules per kg of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0"/>
      </c:valAx>
      <c:valAx>
        <c:axId val="481311920"/>
        <c:scaling>
          <c:orientation val="minMax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>
                    <a:latin typeface="Arial" panose="020B0604020202020204" pitchFamily="34" charset="0"/>
                  </a:rPr>
                  <a:t>Air temperature.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>
                    <a:latin typeface="Arial" panose="020B0604020202020204" pitchFamily="34" charset="0"/>
                  </a:rPr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Enthalpy of wet air vs.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1"/>
          <c:order val="0"/>
          <c:tx>
            <c:v>Base line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0A-4321-9E5A-7C0DD9A078D5}"/>
            </c:ext>
          </c:extLst>
        </c:ser>
        <c:ser>
          <c:idx val="12"/>
          <c:order val="1"/>
          <c:tx>
            <c:v>Mar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month'!$AC$12:$AC$31</c:f>
              <c:numCache>
                <c:formatCode>0.0</c:formatCode>
                <c:ptCount val="20"/>
                <c:pt idx="0">
                  <c:v>7.3071797074557381</c:v>
                </c:pt>
                <c:pt idx="1">
                  <c:v>8.2768346273659539</c:v>
                </c:pt>
                <c:pt idx="2">
                  <c:v>41.398568394782529</c:v>
                </c:pt>
                <c:pt idx="3">
                  <c:v>7.2605751547254229</c:v>
                </c:pt>
                <c:pt idx="4">
                  <c:v>43.793477657017007</c:v>
                </c:pt>
                <c:pt idx="5">
                  <c:v>56.083591926996561</c:v>
                </c:pt>
                <c:pt idx="6">
                  <c:v>51.262804596870879</c:v>
                </c:pt>
                <c:pt idx="7">
                  <c:v>47.817504799400652</c:v>
                </c:pt>
                <c:pt idx="8">
                  <c:v>40.304304554454006</c:v>
                </c:pt>
                <c:pt idx="9">
                  <c:v>45.146983613316642</c:v>
                </c:pt>
                <c:pt idx="10">
                  <c:v>62.684435263161959</c:v>
                </c:pt>
                <c:pt idx="11">
                  <c:v>112.28435706955706</c:v>
                </c:pt>
                <c:pt idx="12">
                  <c:v>119.67614874596725</c:v>
                </c:pt>
                <c:pt idx="13">
                  <c:v>117.51092311894222</c:v>
                </c:pt>
                <c:pt idx="14">
                  <c:v>61.887934299564826</c:v>
                </c:pt>
                <c:pt idx="15">
                  <c:v>92.135195082744048</c:v>
                </c:pt>
                <c:pt idx="16">
                  <c:v>76.031597166516349</c:v>
                </c:pt>
                <c:pt idx="17">
                  <c:v>72.027904425817027</c:v>
                </c:pt>
                <c:pt idx="18">
                  <c:v>48.624638901706874</c:v>
                </c:pt>
                <c:pt idx="19">
                  <c:v>14.700099579873683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60A-4321-9E5A-7C0DD9A078D5}"/>
            </c:ext>
          </c:extLst>
        </c:ser>
        <c:ser>
          <c:idx val="14"/>
          <c:order val="2"/>
          <c:tx>
            <c:v>Apr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month'!$AC$38:$AC$57</c:f>
              <c:numCache>
                <c:formatCode>0.0</c:formatCode>
                <c:ptCount val="20"/>
                <c:pt idx="0">
                  <c:v>20.367539542634741</c:v>
                </c:pt>
                <c:pt idx="1">
                  <c:v>26.335554003142853</c:v>
                </c:pt>
                <c:pt idx="2">
                  <c:v>52.142519720960543</c:v>
                </c:pt>
                <c:pt idx="3">
                  <c:v>32.152382963318829</c:v>
                </c:pt>
                <c:pt idx="4">
                  <c:v>52.351377055330119</c:v>
                </c:pt>
                <c:pt idx="5">
                  <c:v>64.263248260812958</c:v>
                </c:pt>
                <c:pt idx="6">
                  <c:v>69.973051196078259</c:v>
                </c:pt>
                <c:pt idx="7">
                  <c:v>63.800375634102281</c:v>
                </c:pt>
                <c:pt idx="8">
                  <c:v>42.326367191733645</c:v>
                </c:pt>
                <c:pt idx="9">
                  <c:v>43.185150896787697</c:v>
                </c:pt>
                <c:pt idx="10">
                  <c:v>83.052078181395899</c:v>
                </c:pt>
                <c:pt idx="11">
                  <c:v>119.59391890231132</c:v>
                </c:pt>
                <c:pt idx="12">
                  <c:v>108.23218290520653</c:v>
                </c:pt>
                <c:pt idx="13">
                  <c:v>117.50985469765207</c:v>
                </c:pt>
                <c:pt idx="14">
                  <c:v>73.673515965490793</c:v>
                </c:pt>
                <c:pt idx="15">
                  <c:v>90.213968115012904</c:v>
                </c:pt>
                <c:pt idx="16">
                  <c:v>63.16468135192904</c:v>
                </c:pt>
                <c:pt idx="17">
                  <c:v>67.063140224157024</c:v>
                </c:pt>
                <c:pt idx="18">
                  <c:v>51.928502062807929</c:v>
                </c:pt>
                <c:pt idx="19">
                  <c:v>-4.1778098245067952E-2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60A-4321-9E5A-7C0DD9A078D5}"/>
            </c:ext>
          </c:extLst>
        </c:ser>
        <c:ser>
          <c:idx val="15"/>
          <c:order val="3"/>
          <c:tx>
            <c:v>May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month'!$AC$64:$AC$83</c:f>
              <c:numCache>
                <c:formatCode>0.0</c:formatCode>
                <c:ptCount val="20"/>
                <c:pt idx="0">
                  <c:v>33.768725811735209</c:v>
                </c:pt>
                <c:pt idx="1">
                  <c:v>37.787980614370483</c:v>
                </c:pt>
                <c:pt idx="2">
                  <c:v>46.490075086914551</c:v>
                </c:pt>
                <c:pt idx="3">
                  <c:v>60.812916979019882</c:v>
                </c:pt>
                <c:pt idx="4">
                  <c:v>57.257889420787848</c:v>
                </c:pt>
                <c:pt idx="5">
                  <c:v>67.431466019177975</c:v>
                </c:pt>
                <c:pt idx="6">
                  <c:v>70.5563332081868</c:v>
                </c:pt>
                <c:pt idx="7">
                  <c:v>76.639832821053375</c:v>
                </c:pt>
                <c:pt idx="8">
                  <c:v>93.216109083107625</c:v>
                </c:pt>
                <c:pt idx="9">
                  <c:v>101.02683920619985</c:v>
                </c:pt>
                <c:pt idx="10">
                  <c:v>86.467275425234277</c:v>
                </c:pt>
                <c:pt idx="11">
                  <c:v>106.57191673863029</c:v>
                </c:pt>
                <c:pt idx="12">
                  <c:v>102.19915187520131</c:v>
                </c:pt>
                <c:pt idx="13">
                  <c:v>110.07335506027349</c:v>
                </c:pt>
                <c:pt idx="14">
                  <c:v>62.584531656771553</c:v>
                </c:pt>
                <c:pt idx="15">
                  <c:v>65.721853976617098</c:v>
                </c:pt>
                <c:pt idx="16">
                  <c:v>56.882763442772116</c:v>
                </c:pt>
                <c:pt idx="17">
                  <c:v>53.864094320756521</c:v>
                </c:pt>
                <c:pt idx="18">
                  <c:v>58.948393675224587</c:v>
                </c:pt>
                <c:pt idx="19">
                  <c:v>3.9909138774637398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960A-4321-9E5A-7C0DD9A078D5}"/>
            </c:ext>
          </c:extLst>
        </c:ser>
        <c:ser>
          <c:idx val="16"/>
          <c:order val="4"/>
          <c:tx>
            <c:v>Jun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month'!$AC$91:$AC$110</c:f>
              <c:numCache>
                <c:formatCode>0.0</c:formatCode>
                <c:ptCount val="20"/>
                <c:pt idx="0">
                  <c:v>51.568138707333162</c:v>
                </c:pt>
                <c:pt idx="1">
                  <c:v>57.884229910174952</c:v>
                </c:pt>
                <c:pt idx="2">
                  <c:v>71.217750495232266</c:v>
                </c:pt>
                <c:pt idx="3">
                  <c:v>61.637130348084632</c:v>
                </c:pt>
                <c:pt idx="4">
                  <c:v>70.828145233575029</c:v>
                </c:pt>
                <c:pt idx="5">
                  <c:v>98.533669580304149</c:v>
                </c:pt>
                <c:pt idx="6">
                  <c:v>81.385592882712288</c:v>
                </c:pt>
                <c:pt idx="7">
                  <c:v>80.618904653784455</c:v>
                </c:pt>
                <c:pt idx="8">
                  <c:v>97.96456219118889</c:v>
                </c:pt>
                <c:pt idx="9">
                  <c:v>65.175979800448147</c:v>
                </c:pt>
                <c:pt idx="10">
                  <c:v>79.815963550278951</c:v>
                </c:pt>
                <c:pt idx="11">
                  <c:v>112.28435706955706</c:v>
                </c:pt>
                <c:pt idx="12">
                  <c:v>114.50916670181407</c:v>
                </c:pt>
                <c:pt idx="13">
                  <c:v>100.11564630970838</c:v>
                </c:pt>
                <c:pt idx="14">
                  <c:v>57.023013152335608</c:v>
                </c:pt>
                <c:pt idx="15">
                  <c:v>69.981276220709617</c:v>
                </c:pt>
                <c:pt idx="16">
                  <c:v>54.279781758108072</c:v>
                </c:pt>
                <c:pt idx="17">
                  <c:v>55.431663668344541</c:v>
                </c:pt>
                <c:pt idx="18">
                  <c:v>50.99880471491133</c:v>
                </c:pt>
                <c:pt idx="19">
                  <c:v>19.620110678742755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960A-4321-9E5A-7C0DD9A078D5}"/>
            </c:ext>
          </c:extLst>
        </c:ser>
        <c:ser>
          <c:idx val="17"/>
          <c:order val="5"/>
          <c:tx>
            <c:v>Jul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month'!$AC$118:$AC$137</c:f>
              <c:numCache>
                <c:formatCode>0.0</c:formatCode>
                <c:ptCount val="20"/>
                <c:pt idx="0">
                  <c:v>52.847107491235398</c:v>
                </c:pt>
                <c:pt idx="1">
                  <c:v>57.715213484452207</c:v>
                </c:pt>
                <c:pt idx="2">
                  <c:v>57.010917716855566</c:v>
                </c:pt>
                <c:pt idx="3">
                  <c:v>90.335372852280628</c:v>
                </c:pt>
                <c:pt idx="4">
                  <c:v>74.548421322371482</c:v>
                </c:pt>
                <c:pt idx="5">
                  <c:v>77.998981191015972</c:v>
                </c:pt>
                <c:pt idx="6">
                  <c:v>98.603620830789552</c:v>
                </c:pt>
                <c:pt idx="7">
                  <c:v>109.02937744226507</c:v>
                </c:pt>
                <c:pt idx="8">
                  <c:v>85.842851450928777</c:v>
                </c:pt>
                <c:pt idx="9">
                  <c:v>102.64987620353973</c:v>
                </c:pt>
                <c:pt idx="10">
                  <c:v>87.618848176412996</c:v>
                </c:pt>
                <c:pt idx="11">
                  <c:v>107.32842155026718</c:v>
                </c:pt>
                <c:pt idx="12">
                  <c:v>109.39889035431396</c:v>
                </c:pt>
                <c:pt idx="13">
                  <c:v>108.58324907352416</c:v>
                </c:pt>
                <c:pt idx="14">
                  <c:v>70.73024349903659</c:v>
                </c:pt>
                <c:pt idx="15">
                  <c:v>56.805467951958519</c:v>
                </c:pt>
                <c:pt idx="16">
                  <c:v>60.723808211789489</c:v>
                </c:pt>
                <c:pt idx="17">
                  <c:v>58.979551475202456</c:v>
                </c:pt>
                <c:pt idx="18">
                  <c:v>50.99880471491133</c:v>
                </c:pt>
                <c:pt idx="19">
                  <c:v>10.080639219547937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960A-4321-9E5A-7C0DD9A078D5}"/>
            </c:ext>
          </c:extLst>
        </c:ser>
        <c:ser>
          <c:idx val="0"/>
          <c:order val="6"/>
          <c:tx>
            <c:v>Aug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month'!$AC$145:$AC$164</c:f>
              <c:numCache>
                <c:formatCode>0.0</c:formatCode>
                <c:ptCount val="20"/>
                <c:pt idx="0">
                  <c:v>53.744062576441628</c:v>
                </c:pt>
                <c:pt idx="1">
                  <c:v>62.324205548186228</c:v>
                </c:pt>
                <c:pt idx="2">
                  <c:v>53.985559932452745</c:v>
                </c:pt>
                <c:pt idx="3">
                  <c:v>67.988921959655869</c:v>
                </c:pt>
                <c:pt idx="4">
                  <c:v>68.707294162756</c:v>
                </c:pt>
                <c:pt idx="5">
                  <c:v>79.821785432765751</c:v>
                </c:pt>
                <c:pt idx="6">
                  <c:v>89.121403692174709</c:v>
                </c:pt>
                <c:pt idx="7">
                  <c:v>92.875849981439288</c:v>
                </c:pt>
                <c:pt idx="8">
                  <c:v>108.89691250673491</c:v>
                </c:pt>
                <c:pt idx="9">
                  <c:v>77.362217447903987</c:v>
                </c:pt>
                <c:pt idx="10">
                  <c:v>83.825479759713033</c:v>
                </c:pt>
                <c:pt idx="11">
                  <c:v>111.21871053843103</c:v>
                </c:pt>
                <c:pt idx="12">
                  <c:v>110.86973353763584</c:v>
                </c:pt>
                <c:pt idx="13">
                  <c:v>106.97045892742618</c:v>
                </c:pt>
                <c:pt idx="14">
                  <c:v>62.661383774677411</c:v>
                </c:pt>
                <c:pt idx="15">
                  <c:v>63.94162438516787</c:v>
                </c:pt>
                <c:pt idx="16">
                  <c:v>67.415425387494594</c:v>
                </c:pt>
                <c:pt idx="17">
                  <c:v>60.404297270351506</c:v>
                </c:pt>
                <c:pt idx="18">
                  <c:v>46.203748418611774</c:v>
                </c:pt>
                <c:pt idx="19">
                  <c:v>4.0243146759932529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960A-4321-9E5A-7C0DD9A078D5}"/>
            </c:ext>
          </c:extLst>
        </c:ser>
        <c:ser>
          <c:idx val="1"/>
          <c:order val="7"/>
          <c:tx>
            <c:v>Sep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month'!$AC$172:$AC$191</c:f>
              <c:numCache>
                <c:formatCode>0.0</c:formatCode>
                <c:ptCount val="20"/>
                <c:pt idx="0">
                  <c:v>39.209177885408621</c:v>
                </c:pt>
                <c:pt idx="1">
                  <c:v>47.70790400652723</c:v>
                </c:pt>
                <c:pt idx="2">
                  <c:v>48.150646007501308</c:v>
                </c:pt>
                <c:pt idx="3">
                  <c:v>48.161644847921707</c:v>
                </c:pt>
                <c:pt idx="4">
                  <c:v>58.221795544505355</c:v>
                </c:pt>
                <c:pt idx="5">
                  <c:v>78.666125106747344</c:v>
                </c:pt>
                <c:pt idx="6">
                  <c:v>74.153081654730741</c:v>
                </c:pt>
                <c:pt idx="7">
                  <c:v>80.048292284953135</c:v>
                </c:pt>
                <c:pt idx="8">
                  <c:v>78.926536021145978</c:v>
                </c:pt>
                <c:pt idx="9">
                  <c:v>67.321606408395581</c:v>
                </c:pt>
                <c:pt idx="10">
                  <c:v>77.620312955299369</c:v>
                </c:pt>
                <c:pt idx="11">
                  <c:v>106.80081174960284</c:v>
                </c:pt>
                <c:pt idx="12">
                  <c:v>114.88575589897296</c:v>
                </c:pt>
                <c:pt idx="13">
                  <c:v>106.97045892742618</c:v>
                </c:pt>
                <c:pt idx="14">
                  <c:v>64.319730900420694</c:v>
                </c:pt>
                <c:pt idx="15">
                  <c:v>62.913138005324328</c:v>
                </c:pt>
                <c:pt idx="16">
                  <c:v>72.649386643442568</c:v>
                </c:pt>
                <c:pt idx="17">
                  <c:v>62.118829283537004</c:v>
                </c:pt>
                <c:pt idx="18">
                  <c:v>61.371335054914638</c:v>
                </c:pt>
                <c:pt idx="19">
                  <c:v>17.65527710541603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960A-4321-9E5A-7C0DD9A078D5}"/>
            </c:ext>
          </c:extLst>
        </c:ser>
        <c:ser>
          <c:idx val="2"/>
          <c:order val="8"/>
          <c:tx>
            <c:v>Oct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month'!$AC$199:$AC$218</c:f>
              <c:numCache>
                <c:formatCode>0.0</c:formatCode>
                <c:ptCount val="20"/>
                <c:pt idx="0">
                  <c:v>37.252301279675095</c:v>
                </c:pt>
                <c:pt idx="1">
                  <c:v>30.426869844161363</c:v>
                </c:pt>
                <c:pt idx="2">
                  <c:v>44.528738996855445</c:v>
                </c:pt>
                <c:pt idx="3">
                  <c:v>45.16579076275557</c:v>
                </c:pt>
                <c:pt idx="4">
                  <c:v>53.859666727168737</c:v>
                </c:pt>
                <c:pt idx="5">
                  <c:v>70.585248350716427</c:v>
                </c:pt>
                <c:pt idx="6">
                  <c:v>75.974973252367022</c:v>
                </c:pt>
                <c:pt idx="7">
                  <c:v>43.524439584845837</c:v>
                </c:pt>
                <c:pt idx="8">
                  <c:v>65.31754129317747</c:v>
                </c:pt>
                <c:pt idx="9">
                  <c:v>54.884655014554781</c:v>
                </c:pt>
                <c:pt idx="10">
                  <c:v>81.059920105415699</c:v>
                </c:pt>
                <c:pt idx="11">
                  <c:v>115.27511295543462</c:v>
                </c:pt>
                <c:pt idx="12">
                  <c:v>112.18191477144073</c:v>
                </c:pt>
                <c:pt idx="13">
                  <c:v>110.07335506027349</c:v>
                </c:pt>
                <c:pt idx="14">
                  <c:v>77.000153164521606</c:v>
                </c:pt>
                <c:pt idx="15">
                  <c:v>83.865959307756185</c:v>
                </c:pt>
                <c:pt idx="16">
                  <c:v>74.671506104927204</c:v>
                </c:pt>
                <c:pt idx="17">
                  <c:v>58.141474252324144</c:v>
                </c:pt>
                <c:pt idx="18">
                  <c:v>58.05439653941049</c:v>
                </c:pt>
                <c:pt idx="19">
                  <c:v>21.263115376609637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960A-4321-9E5A-7C0DD9A078D5}"/>
            </c:ext>
          </c:extLst>
        </c:ser>
        <c:ser>
          <c:idx val="3"/>
          <c:order val="9"/>
          <c:tx>
            <c:v>Nov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month'!$AC$199:$AC$218</c:f>
              <c:numCache>
                <c:formatCode>0.0</c:formatCode>
                <c:ptCount val="20"/>
                <c:pt idx="0">
                  <c:v>37.252301279675095</c:v>
                </c:pt>
                <c:pt idx="1">
                  <c:v>30.426869844161363</c:v>
                </c:pt>
                <c:pt idx="2">
                  <c:v>44.528738996855445</c:v>
                </c:pt>
                <c:pt idx="3">
                  <c:v>45.16579076275557</c:v>
                </c:pt>
                <c:pt idx="4">
                  <c:v>53.859666727168737</c:v>
                </c:pt>
                <c:pt idx="5">
                  <c:v>70.585248350716427</c:v>
                </c:pt>
                <c:pt idx="6">
                  <c:v>75.974973252367022</c:v>
                </c:pt>
                <c:pt idx="7">
                  <c:v>43.524439584845837</c:v>
                </c:pt>
                <c:pt idx="8">
                  <c:v>65.31754129317747</c:v>
                </c:pt>
                <c:pt idx="9">
                  <c:v>54.884655014554781</c:v>
                </c:pt>
                <c:pt idx="10">
                  <c:v>81.059920105415699</c:v>
                </c:pt>
                <c:pt idx="11">
                  <c:v>115.27511295543462</c:v>
                </c:pt>
                <c:pt idx="12">
                  <c:v>112.18191477144073</c:v>
                </c:pt>
                <c:pt idx="13">
                  <c:v>110.07335506027349</c:v>
                </c:pt>
                <c:pt idx="14">
                  <c:v>77.000153164521606</c:v>
                </c:pt>
                <c:pt idx="15">
                  <c:v>83.865959307756185</c:v>
                </c:pt>
                <c:pt idx="16">
                  <c:v>74.671506104927204</c:v>
                </c:pt>
                <c:pt idx="17">
                  <c:v>58.141474252324144</c:v>
                </c:pt>
                <c:pt idx="18">
                  <c:v>58.05439653941049</c:v>
                </c:pt>
                <c:pt idx="19">
                  <c:v>21.263115376609637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960A-4321-9E5A-7C0DD9A078D5}"/>
            </c:ext>
          </c:extLst>
        </c:ser>
        <c:ser>
          <c:idx val="4"/>
          <c:order val="10"/>
          <c:tx>
            <c:v>Dec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month'!$AC$253:$AC$272</c:f>
              <c:numCache>
                <c:formatCode>0.0</c:formatCode>
                <c:ptCount val="20"/>
                <c:pt idx="0">
                  <c:v>14.691387738360564</c:v>
                </c:pt>
                <c:pt idx="1">
                  <c:v>11.3747929302831</c:v>
                </c:pt>
                <c:pt idx="2">
                  <c:v>34.073635018137225</c:v>
                </c:pt>
                <c:pt idx="3">
                  <c:v>24.040224049634475</c:v>
                </c:pt>
                <c:pt idx="4">
                  <c:v>28.569090631505283</c:v>
                </c:pt>
                <c:pt idx="5">
                  <c:v>48.8789107856119</c:v>
                </c:pt>
                <c:pt idx="6">
                  <c:v>55.77529128881298</c:v>
                </c:pt>
                <c:pt idx="7">
                  <c:v>17.544908897776548</c:v>
                </c:pt>
                <c:pt idx="8">
                  <c:v>37.753988652770218</c:v>
                </c:pt>
                <c:pt idx="9">
                  <c:v>30.565307982614843</c:v>
                </c:pt>
                <c:pt idx="10">
                  <c:v>70.056291820652987</c:v>
                </c:pt>
                <c:pt idx="11">
                  <c:v>121.32630456289988</c:v>
                </c:pt>
                <c:pt idx="12">
                  <c:v>110.49972143706478</c:v>
                </c:pt>
                <c:pt idx="13">
                  <c:v>110.15747080809081</c:v>
                </c:pt>
                <c:pt idx="14">
                  <c:v>85.372549236758388</c:v>
                </c:pt>
                <c:pt idx="15">
                  <c:v>90.945761287259145</c:v>
                </c:pt>
                <c:pt idx="16">
                  <c:v>61.590388360495396</c:v>
                </c:pt>
                <c:pt idx="17">
                  <c:v>68.736450310717714</c:v>
                </c:pt>
                <c:pt idx="18">
                  <c:v>70.102885826457921</c:v>
                </c:pt>
                <c:pt idx="19">
                  <c:v>39.42424924306669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960A-4321-9E5A-7C0DD9A078D5}"/>
            </c:ext>
          </c:extLst>
        </c:ser>
        <c:ser>
          <c:idx val="5"/>
          <c:order val="11"/>
          <c:tx>
            <c:v>Jan 22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month'!$AC$280:$AC$299</c:f>
              <c:numCache>
                <c:formatCode>0.0</c:formatCode>
                <c:ptCount val="20"/>
                <c:pt idx="0">
                  <c:v>10.616097136357848</c:v>
                </c:pt>
                <c:pt idx="1">
                  <c:v>13.555806574386299</c:v>
                </c:pt>
                <c:pt idx="2">
                  <c:v>37.907767410763128</c:v>
                </c:pt>
                <c:pt idx="3">
                  <c:v>5.1762755724614102</c:v>
                </c:pt>
                <c:pt idx="4">
                  <c:v>32.192229517567689</c:v>
                </c:pt>
                <c:pt idx="5">
                  <c:v>58.465226459810616</c:v>
                </c:pt>
                <c:pt idx="6">
                  <c:v>43.272141767270732</c:v>
                </c:pt>
                <c:pt idx="7">
                  <c:v>23.993584623845056</c:v>
                </c:pt>
                <c:pt idx="8">
                  <c:v>15.942883981385048</c:v>
                </c:pt>
                <c:pt idx="9">
                  <c:v>18.091855547947411</c:v>
                </c:pt>
                <c:pt idx="10">
                  <c:v>52.236018004412657</c:v>
                </c:pt>
                <c:pt idx="11">
                  <c:v>106.80081174960284</c:v>
                </c:pt>
                <c:pt idx="12">
                  <c:v>112.29415611347558</c:v>
                </c:pt>
                <c:pt idx="13">
                  <c:v>122.09830595515879</c:v>
                </c:pt>
                <c:pt idx="14">
                  <c:v>62.531688906070343</c:v>
                </c:pt>
                <c:pt idx="15">
                  <c:v>88.906355810605078</c:v>
                </c:pt>
                <c:pt idx="16">
                  <c:v>79.330613960491206</c:v>
                </c:pt>
                <c:pt idx="17">
                  <c:v>74.700791296931811</c:v>
                </c:pt>
                <c:pt idx="18">
                  <c:v>65.018376242838755</c:v>
                </c:pt>
                <c:pt idx="19">
                  <c:v>38.688092806973067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960A-4321-9E5A-7C0DD9A078D5}"/>
            </c:ext>
          </c:extLst>
        </c:ser>
        <c:ser>
          <c:idx val="6"/>
          <c:order val="12"/>
          <c:tx>
            <c:v>Feb 22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month'!$AC$307:$AC$326</c:f>
              <c:numCache>
                <c:formatCode>0.0</c:formatCode>
                <c:ptCount val="20"/>
                <c:pt idx="0">
                  <c:v>7.2265971794438606</c:v>
                </c:pt>
                <c:pt idx="1">
                  <c:v>15.809594730919557</c:v>
                </c:pt>
                <c:pt idx="2">
                  <c:v>37.676588610080699</c:v>
                </c:pt>
                <c:pt idx="3">
                  <c:v>10.324938277693285</c:v>
                </c:pt>
                <c:pt idx="4">
                  <c:v>29.779842622192717</c:v>
                </c:pt>
                <c:pt idx="5">
                  <c:v>51.100106709538807</c:v>
                </c:pt>
                <c:pt idx="6">
                  <c:v>57.753719802122561</c:v>
                </c:pt>
                <c:pt idx="7">
                  <c:v>20.371836221476347</c:v>
                </c:pt>
                <c:pt idx="8">
                  <c:v>46.843324886396061</c:v>
                </c:pt>
                <c:pt idx="9">
                  <c:v>33.825022751334778</c:v>
                </c:pt>
                <c:pt idx="10">
                  <c:v>70.638762444819008</c:v>
                </c:pt>
                <c:pt idx="11">
                  <c:v>118.46151214238805</c:v>
                </c:pt>
                <c:pt idx="12">
                  <c:v>110.93627254074993</c:v>
                </c:pt>
                <c:pt idx="13">
                  <c:v>109.52312712537535</c:v>
                </c:pt>
                <c:pt idx="14">
                  <c:v>69.881001186353643</c:v>
                </c:pt>
                <c:pt idx="15">
                  <c:v>86.542349859878783</c:v>
                </c:pt>
                <c:pt idx="16">
                  <c:v>58.954955022449049</c:v>
                </c:pt>
                <c:pt idx="17">
                  <c:v>75.5637532297809</c:v>
                </c:pt>
                <c:pt idx="18">
                  <c:v>54.868025092614019</c:v>
                </c:pt>
                <c:pt idx="19">
                  <c:v>22.898397488853725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960A-4321-9E5A-7C0DD9A07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40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="1" i="0" baseline="0">
                    <a:latin typeface="Arial" panose="020B0604020202020204" pitchFamily="34" charset="0"/>
                  </a:rPr>
                  <a:t>Enthalpy, kilojoules per kg of moist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0"/>
      </c:valAx>
      <c:valAx>
        <c:axId val="481311920"/>
        <c:scaling>
          <c:orientation val="minMax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>
                    <a:latin typeface="Arial" panose="020B0604020202020204" pitchFamily="34" charset="0"/>
                  </a:rPr>
                  <a:t>Air temperature.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>
                    <a:latin typeface="Arial" panose="020B0604020202020204" pitchFamily="34" charset="0"/>
                  </a:rPr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b="1" i="0" baseline="0">
                <a:latin typeface="Arial" panose="020B0604020202020204" pitchFamily="34" charset="0"/>
              </a:rPr>
              <a:t>Temperature vs. specific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Mar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month'!$AL$12:$AL$31</c:f>
              <c:numCache>
                <c:formatCode>0.000</c:formatCode>
                <c:ptCount val="20"/>
                <c:pt idx="0">
                  <c:v>0.69072091480517117</c:v>
                </c:pt>
                <c:pt idx="1">
                  <c:v>0.69431777722353405</c:v>
                </c:pt>
                <c:pt idx="2">
                  <c:v>0.76907007318885023</c:v>
                </c:pt>
                <c:pt idx="3">
                  <c:v>0.69022888511169533</c:v>
                </c:pt>
                <c:pt idx="4">
                  <c:v>0.81874001121559792</c:v>
                </c:pt>
                <c:pt idx="5">
                  <c:v>0.79346262206271179</c:v>
                </c:pt>
                <c:pt idx="6">
                  <c:v>0.79946930329086674</c:v>
                </c:pt>
                <c:pt idx="7">
                  <c:v>0.79241872638858468</c:v>
                </c:pt>
                <c:pt idx="8">
                  <c:v>0.77337392116835857</c:v>
                </c:pt>
                <c:pt idx="9">
                  <c:v>0.80013656035019709</c:v>
                </c:pt>
                <c:pt idx="10">
                  <c:v>0.83814907762408786</c:v>
                </c:pt>
                <c:pt idx="11">
                  <c:v>0.85311232746273591</c:v>
                </c:pt>
                <c:pt idx="12">
                  <c:v>0.85606538694283607</c:v>
                </c:pt>
                <c:pt idx="13">
                  <c:v>0.86769865263922619</c:v>
                </c:pt>
                <c:pt idx="14">
                  <c:v>0.85747815230369584</c:v>
                </c:pt>
                <c:pt idx="15">
                  <c:v>0.83623401778994866</c:v>
                </c:pt>
                <c:pt idx="16">
                  <c:v>0.82540202154660558</c:v>
                </c:pt>
                <c:pt idx="17">
                  <c:v>0.81373865595578376</c:v>
                </c:pt>
                <c:pt idx="18">
                  <c:v>0.78330263300624492</c:v>
                </c:pt>
                <c:pt idx="19">
                  <c:v>0.70884970454686824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D2A-48A5-A7C7-3AD4BF60D88D}"/>
            </c:ext>
          </c:extLst>
        </c:ser>
        <c:ser>
          <c:idx val="1"/>
          <c:order val="1"/>
          <c:tx>
            <c:v>Apr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month'!$AL$38:$AL$57</c:f>
              <c:numCache>
                <c:formatCode>0.000</c:formatCode>
                <c:ptCount val="20"/>
                <c:pt idx="0">
                  <c:v>0.72497392889310353</c:v>
                </c:pt>
                <c:pt idx="1">
                  <c:v>0.74003229671275972</c:v>
                </c:pt>
                <c:pt idx="2">
                  <c:v>0.80037930191425866</c:v>
                </c:pt>
                <c:pt idx="3">
                  <c:v>0.75297091589335474</c:v>
                </c:pt>
                <c:pt idx="4">
                  <c:v>0.82763123114295956</c:v>
                </c:pt>
                <c:pt idx="5">
                  <c:v>0.80767011149217027</c:v>
                </c:pt>
                <c:pt idx="6">
                  <c:v>0.83695347147523647</c:v>
                </c:pt>
                <c:pt idx="7">
                  <c:v>0.829981171049334</c:v>
                </c:pt>
                <c:pt idx="8">
                  <c:v>0.77337392116835857</c:v>
                </c:pt>
                <c:pt idx="9">
                  <c:v>0.80306516612140555</c:v>
                </c:pt>
                <c:pt idx="10">
                  <c:v>0.89876544456643503</c:v>
                </c:pt>
                <c:pt idx="11">
                  <c:v>0.86451131505566747</c:v>
                </c:pt>
                <c:pt idx="12">
                  <c:v>0.84470232410962964</c:v>
                </c:pt>
                <c:pt idx="13">
                  <c:v>0.87055874606862371</c:v>
                </c:pt>
                <c:pt idx="14">
                  <c:v>0.8847157218341648</c:v>
                </c:pt>
                <c:pt idx="15">
                  <c:v>0.83623401778994866</c:v>
                </c:pt>
                <c:pt idx="16">
                  <c:v>0.80834107140145739</c:v>
                </c:pt>
                <c:pt idx="17">
                  <c:v>0.80521072807188498</c:v>
                </c:pt>
                <c:pt idx="18">
                  <c:v>0.78614892207653608</c:v>
                </c:pt>
                <c:pt idx="19">
                  <c:v>0.66898251365413719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D2A-48A5-A7C7-3AD4BF60D88D}"/>
            </c:ext>
          </c:extLst>
        </c:ser>
        <c:ser>
          <c:idx val="2"/>
          <c:order val="2"/>
          <c:tx>
            <c:v>May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D2A-48A5-A7C7-3AD4BF60D88D}"/>
            </c:ext>
          </c:extLst>
        </c:ser>
        <c:ser>
          <c:idx val="3"/>
          <c:order val="3"/>
          <c:tx>
            <c:v>Jun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month'!$AL$91:$AL$110</c:f>
              <c:numCache>
                <c:formatCode>0.000</c:formatCode>
                <c:ptCount val="20"/>
                <c:pt idx="0">
                  <c:v>0.79058865605746398</c:v>
                </c:pt>
                <c:pt idx="1">
                  <c:v>0.79714358858181766</c:v>
                </c:pt>
                <c:pt idx="2">
                  <c:v>0.80891670776528657</c:v>
                </c:pt>
                <c:pt idx="3">
                  <c:v>0.80997330829259229</c:v>
                </c:pt>
                <c:pt idx="4">
                  <c:v>0.86911565693307891</c:v>
                </c:pt>
                <c:pt idx="5">
                  <c:v>0.86732472186921195</c:v>
                </c:pt>
                <c:pt idx="6">
                  <c:v>0.84560213854472843</c:v>
                </c:pt>
                <c:pt idx="7">
                  <c:v>0.84731397248250129</c:v>
                </c:pt>
                <c:pt idx="8">
                  <c:v>0.85349874029016282</c:v>
                </c:pt>
                <c:pt idx="9">
                  <c:v>0.84405827207084816</c:v>
                </c:pt>
                <c:pt idx="10">
                  <c:v>0.88433509959255985</c:v>
                </c:pt>
                <c:pt idx="11">
                  <c:v>0.85311232746273591</c:v>
                </c:pt>
                <c:pt idx="12">
                  <c:v>0.85038396560416896</c:v>
                </c:pt>
                <c:pt idx="13">
                  <c:v>0.85053696627203335</c:v>
                </c:pt>
                <c:pt idx="14">
                  <c:v>0.8483977961100122</c:v>
                </c:pt>
                <c:pt idx="15">
                  <c:v>0.83909472406394281</c:v>
                </c:pt>
                <c:pt idx="16">
                  <c:v>0.78843363364869035</c:v>
                </c:pt>
                <c:pt idx="17">
                  <c:v>0.79668220314932736</c:v>
                </c:pt>
                <c:pt idx="18">
                  <c:v>0.78330263300624492</c:v>
                </c:pt>
                <c:pt idx="19">
                  <c:v>0.72308291960059978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7C-4F90-BF7A-AF57BFD84D3F}"/>
            </c:ext>
          </c:extLst>
        </c:ser>
        <c:ser>
          <c:idx val="4"/>
          <c:order val="4"/>
          <c:tx>
            <c:v>Jul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month'!$AL$118:$AL$137</c:f>
              <c:numCache>
                <c:formatCode>0.000</c:formatCode>
                <c:ptCount val="20"/>
                <c:pt idx="0">
                  <c:v>0.78773671016967206</c:v>
                </c:pt>
                <c:pt idx="1">
                  <c:v>0.79428874588061149</c:v>
                </c:pt>
                <c:pt idx="2">
                  <c:v>0.80037930191425866</c:v>
                </c:pt>
                <c:pt idx="3">
                  <c:v>0.86125274367699589</c:v>
                </c:pt>
                <c:pt idx="4">
                  <c:v>0.88985340973248872</c:v>
                </c:pt>
                <c:pt idx="5">
                  <c:v>0.83608026704823113</c:v>
                </c:pt>
                <c:pt idx="6">
                  <c:v>0.8542502748981895</c:v>
                </c:pt>
                <c:pt idx="7">
                  <c:v>0.85886798463646796</c:v>
                </c:pt>
                <c:pt idx="8">
                  <c:v>0.84491629982992855</c:v>
                </c:pt>
                <c:pt idx="9">
                  <c:v>0.87625842440667345</c:v>
                </c:pt>
                <c:pt idx="10">
                  <c:v>0.89876544456643503</c:v>
                </c:pt>
                <c:pt idx="11">
                  <c:v>0.84741250590286754</c:v>
                </c:pt>
                <c:pt idx="12">
                  <c:v>0.84186141922108149</c:v>
                </c:pt>
                <c:pt idx="13">
                  <c:v>0.8533973844209255</c:v>
                </c:pt>
                <c:pt idx="14">
                  <c:v>0.87866336455541982</c:v>
                </c:pt>
                <c:pt idx="15">
                  <c:v>0.79903914291402378</c:v>
                </c:pt>
                <c:pt idx="16">
                  <c:v>0.80265357180775265</c:v>
                </c:pt>
                <c:pt idx="17">
                  <c:v>0.79668220314932736</c:v>
                </c:pt>
                <c:pt idx="18">
                  <c:v>0.78330263300624492</c:v>
                </c:pt>
                <c:pt idx="19">
                  <c:v>0.6974612689913301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7C-4F90-BF7A-AF57BFD84D3F}"/>
            </c:ext>
          </c:extLst>
        </c:ser>
        <c:ser>
          <c:idx val="5"/>
          <c:order val="5"/>
          <c:tx>
            <c:v>Aug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month'!$AL$145:$AL$164</c:f>
              <c:numCache>
                <c:formatCode>0.000</c:formatCode>
                <c:ptCount val="20"/>
                <c:pt idx="0">
                  <c:v>0.78773671016967206</c:v>
                </c:pt>
                <c:pt idx="1">
                  <c:v>0.80285306601957218</c:v>
                </c:pt>
                <c:pt idx="2">
                  <c:v>0.79184128452611546</c:v>
                </c:pt>
                <c:pt idx="3">
                  <c:v>0.81567199402038681</c:v>
                </c:pt>
                <c:pt idx="4">
                  <c:v>0.87207836459797872</c:v>
                </c:pt>
                <c:pt idx="5">
                  <c:v>0.82755786424395994</c:v>
                </c:pt>
                <c:pt idx="6">
                  <c:v>0.84848490872308946</c:v>
                </c:pt>
                <c:pt idx="7">
                  <c:v>0.84442532372360091</c:v>
                </c:pt>
                <c:pt idx="8">
                  <c:v>0.85922008784583603</c:v>
                </c:pt>
                <c:pt idx="9">
                  <c:v>0.85576824417504771</c:v>
                </c:pt>
                <c:pt idx="10">
                  <c:v>0.89010738628558217</c:v>
                </c:pt>
                <c:pt idx="11">
                  <c:v>0.85026244451647626</c:v>
                </c:pt>
                <c:pt idx="12">
                  <c:v>0.84470232410962964</c:v>
                </c:pt>
                <c:pt idx="13">
                  <c:v>0.85053696627203335</c:v>
                </c:pt>
                <c:pt idx="14">
                  <c:v>0.8544514342982501</c:v>
                </c:pt>
                <c:pt idx="15">
                  <c:v>0.80762355546510733</c:v>
                </c:pt>
                <c:pt idx="16">
                  <c:v>0.81971529020377698</c:v>
                </c:pt>
                <c:pt idx="17">
                  <c:v>0.80521072807188498</c:v>
                </c:pt>
                <c:pt idx="18">
                  <c:v>0.7747633236947149</c:v>
                </c:pt>
                <c:pt idx="19">
                  <c:v>0.68037540566799737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7C-4F90-BF7A-AF57BFD84D3F}"/>
            </c:ext>
          </c:extLst>
        </c:ser>
        <c:ser>
          <c:idx val="6"/>
          <c:order val="6"/>
          <c:tx>
            <c:v>Sep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month'!$AL$172:$AL$191</c:f>
              <c:numCache>
                <c:formatCode>0.000</c:formatCode>
                <c:ptCount val="20"/>
                <c:pt idx="0">
                  <c:v>0.76491846775697192</c:v>
                </c:pt>
                <c:pt idx="1">
                  <c:v>0.78286866188313498</c:v>
                </c:pt>
                <c:pt idx="2">
                  <c:v>0.78330263300624492</c:v>
                </c:pt>
                <c:pt idx="3">
                  <c:v>0.78432588462491781</c:v>
                </c:pt>
                <c:pt idx="4">
                  <c:v>0.85133814833254329</c:v>
                </c:pt>
                <c:pt idx="5">
                  <c:v>0.84176157634884208</c:v>
                </c:pt>
                <c:pt idx="6">
                  <c:v>0.82542105709077629</c:v>
                </c:pt>
                <c:pt idx="7">
                  <c:v>0.83575901674187736</c:v>
                </c:pt>
                <c:pt idx="8">
                  <c:v>0.83347223603470044</c:v>
                </c:pt>
                <c:pt idx="9">
                  <c:v>0.83527513913550488</c:v>
                </c:pt>
                <c:pt idx="10">
                  <c:v>0.87567628661824037</c:v>
                </c:pt>
                <c:pt idx="11">
                  <c:v>0.84741250590286754</c:v>
                </c:pt>
                <c:pt idx="12">
                  <c:v>0.8532247034809709</c:v>
                </c:pt>
                <c:pt idx="13">
                  <c:v>0.85053696627203335</c:v>
                </c:pt>
                <c:pt idx="14">
                  <c:v>0.8544514342982501</c:v>
                </c:pt>
                <c:pt idx="15">
                  <c:v>0.80476215282901575</c:v>
                </c:pt>
                <c:pt idx="16">
                  <c:v>0.83108850864326955</c:v>
                </c:pt>
                <c:pt idx="17">
                  <c:v>0.81373865595578376</c:v>
                </c:pt>
                <c:pt idx="18">
                  <c:v>0.79753336516128259</c:v>
                </c:pt>
                <c:pt idx="19">
                  <c:v>0.71738992881715269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7C-4F90-BF7A-AF57BFD84D3F}"/>
            </c:ext>
          </c:extLst>
        </c:ser>
        <c:ser>
          <c:idx val="7"/>
          <c:order val="7"/>
          <c:tx>
            <c:v>Oct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month'!$AL$199:$AL$218</c:f>
              <c:numCache>
                <c:formatCode>0.000</c:formatCode>
                <c:ptCount val="20"/>
                <c:pt idx="0">
                  <c:v>0.76206583894191371</c:v>
                </c:pt>
                <c:pt idx="1">
                  <c:v>0.74860106140188476</c:v>
                </c:pt>
                <c:pt idx="2">
                  <c:v>0.77760983472598821</c:v>
                </c:pt>
                <c:pt idx="3">
                  <c:v>0.77577545901376832</c:v>
                </c:pt>
                <c:pt idx="4">
                  <c:v>0.83652182463127867</c:v>
                </c:pt>
                <c:pt idx="5">
                  <c:v>0.81903491822829566</c:v>
                </c:pt>
                <c:pt idx="6">
                  <c:v>0.82542105709077629</c:v>
                </c:pt>
                <c:pt idx="7">
                  <c:v>0.78374876352332901</c:v>
                </c:pt>
                <c:pt idx="8">
                  <c:v>0.80771949030695123</c:v>
                </c:pt>
                <c:pt idx="9">
                  <c:v>0.82063527835145289</c:v>
                </c:pt>
                <c:pt idx="10">
                  <c:v>0.86701700017831085</c:v>
                </c:pt>
                <c:pt idx="11">
                  <c:v>0.85311232746273591</c:v>
                </c:pt>
                <c:pt idx="12">
                  <c:v>0.84754317269065793</c:v>
                </c:pt>
                <c:pt idx="13">
                  <c:v>0.85625774690266143</c:v>
                </c:pt>
                <c:pt idx="14">
                  <c:v>0.89076784051542501</c:v>
                </c:pt>
                <c:pt idx="15">
                  <c:v>0.83051242559116023</c:v>
                </c:pt>
                <c:pt idx="16">
                  <c:v>0.81971529020377698</c:v>
                </c:pt>
                <c:pt idx="17">
                  <c:v>0.79383922507424054</c:v>
                </c:pt>
                <c:pt idx="18">
                  <c:v>0.81176237757744896</c:v>
                </c:pt>
                <c:pt idx="19">
                  <c:v>0.72592927123310524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7C-4F90-BF7A-AF57BFD84D3F}"/>
            </c:ext>
          </c:extLst>
        </c:ser>
        <c:ser>
          <c:idx val="8"/>
          <c:order val="8"/>
          <c:tx>
            <c:v>Nov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month'!$AL$226:$AL$245</c:f>
              <c:numCache>
                <c:formatCode>0.000</c:formatCode>
                <c:ptCount val="20"/>
                <c:pt idx="0">
                  <c:v>0.70499484377070754</c:v>
                </c:pt>
                <c:pt idx="1">
                  <c:v>0.70289122682451111</c:v>
                </c:pt>
                <c:pt idx="2">
                  <c:v>0.76337651170447707</c:v>
                </c:pt>
                <c:pt idx="3">
                  <c:v>0.69878747560656118</c:v>
                </c:pt>
                <c:pt idx="4">
                  <c:v>0.78613312340171571</c:v>
                </c:pt>
                <c:pt idx="5">
                  <c:v>0.7820953823747393</c:v>
                </c:pt>
                <c:pt idx="6">
                  <c:v>0.81100409295876008</c:v>
                </c:pt>
                <c:pt idx="7">
                  <c:v>0.76640673817620009</c:v>
                </c:pt>
                <c:pt idx="8">
                  <c:v>0.79341009535705609</c:v>
                </c:pt>
                <c:pt idx="9">
                  <c:v>0.79720787968354856</c:v>
                </c:pt>
                <c:pt idx="10">
                  <c:v>0.86701700017831085</c:v>
                </c:pt>
                <c:pt idx="11">
                  <c:v>0.84741250590286754</c:v>
                </c:pt>
                <c:pt idx="12">
                  <c:v>0.85038396560416896</c:v>
                </c:pt>
                <c:pt idx="13">
                  <c:v>0.85911805434803001</c:v>
                </c:pt>
                <c:pt idx="14">
                  <c:v>0.90589712884017792</c:v>
                </c:pt>
                <c:pt idx="15">
                  <c:v>0.83909472406394281</c:v>
                </c:pt>
                <c:pt idx="16">
                  <c:v>0.80834107140145739</c:v>
                </c:pt>
                <c:pt idx="17">
                  <c:v>0.80521072807188498</c:v>
                </c:pt>
                <c:pt idx="18">
                  <c:v>0.80607097241088155</c:v>
                </c:pt>
                <c:pt idx="19">
                  <c:v>0.74869679442254733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7C-4F90-BF7A-AF57BFD84D3F}"/>
            </c:ext>
          </c:extLst>
        </c:ser>
        <c:ser>
          <c:idx val="9"/>
          <c:order val="9"/>
          <c:tx>
            <c:v>Dec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month'!$AL$253:$AL$272</c:f>
              <c:numCache>
                <c:formatCode>0.000</c:formatCode>
                <c:ptCount val="20"/>
                <c:pt idx="0">
                  <c:v>0.71070365694991733</c:v>
                </c:pt>
                <c:pt idx="1">
                  <c:v>0.70289122682451111</c:v>
                </c:pt>
                <c:pt idx="2">
                  <c:v>0.75483556908823324</c:v>
                </c:pt>
                <c:pt idx="3">
                  <c:v>0.73301255345535021</c:v>
                </c:pt>
                <c:pt idx="4">
                  <c:v>0.7742736597384291</c:v>
                </c:pt>
                <c:pt idx="5">
                  <c:v>0.77925339196266485</c:v>
                </c:pt>
                <c:pt idx="6">
                  <c:v>0.8023531055344949</c:v>
                </c:pt>
                <c:pt idx="7">
                  <c:v>0.72882180136001351</c:v>
                </c:pt>
                <c:pt idx="8">
                  <c:v>0.77051130715748262</c:v>
                </c:pt>
                <c:pt idx="9">
                  <c:v>0.76791674124000242</c:v>
                </c:pt>
                <c:pt idx="10">
                  <c:v>0.85258375932810404</c:v>
                </c:pt>
                <c:pt idx="11">
                  <c:v>0.86166164856039229</c:v>
                </c:pt>
                <c:pt idx="12">
                  <c:v>0.84754317269065793</c:v>
                </c:pt>
                <c:pt idx="13">
                  <c:v>0.85911805434803001</c:v>
                </c:pt>
                <c:pt idx="14">
                  <c:v>0.90589712884017792</c:v>
                </c:pt>
                <c:pt idx="15">
                  <c:v>0.83909472406394281</c:v>
                </c:pt>
                <c:pt idx="16">
                  <c:v>0.81118472249119811</c:v>
                </c:pt>
                <c:pt idx="17">
                  <c:v>0.80521072807188498</c:v>
                </c:pt>
                <c:pt idx="18">
                  <c:v>0.82598977024595732</c:v>
                </c:pt>
                <c:pt idx="19">
                  <c:v>0.7657688367851635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07C-4F90-BF7A-AF57BFD84D3F}"/>
            </c:ext>
          </c:extLst>
        </c:ser>
        <c:ser>
          <c:idx val="10"/>
          <c:order val="10"/>
          <c:tx>
            <c:v>Jan 22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month'!$AL$280:$AL$299</c:f>
              <c:numCache>
                <c:formatCode>0.000</c:formatCode>
                <c:ptCount val="20"/>
                <c:pt idx="0">
                  <c:v>0.69928557599675389</c:v>
                </c:pt>
                <c:pt idx="1">
                  <c:v>0.70860636009045153</c:v>
                </c:pt>
                <c:pt idx="2">
                  <c:v>0.76337651170447707</c:v>
                </c:pt>
                <c:pt idx="3">
                  <c:v>0.68452260006822485</c:v>
                </c:pt>
                <c:pt idx="4">
                  <c:v>0.78613312340171571</c:v>
                </c:pt>
                <c:pt idx="5">
                  <c:v>0.79630425584190845</c:v>
                </c:pt>
                <c:pt idx="6">
                  <c:v>0.7879333723766121</c:v>
                </c:pt>
                <c:pt idx="7">
                  <c:v>0.74617059012002096</c:v>
                </c:pt>
                <c:pt idx="8">
                  <c:v>0.71610547152677084</c:v>
                </c:pt>
                <c:pt idx="9">
                  <c:v>0.73861698786701646</c:v>
                </c:pt>
                <c:pt idx="10">
                  <c:v>0.8121627405049453</c:v>
                </c:pt>
                <c:pt idx="11">
                  <c:v>0.84741250590286754</c:v>
                </c:pt>
                <c:pt idx="12">
                  <c:v>0.85606538694283607</c:v>
                </c:pt>
                <c:pt idx="13">
                  <c:v>0.861978307378786</c:v>
                </c:pt>
                <c:pt idx="14">
                  <c:v>0.87261076304959773</c:v>
                </c:pt>
                <c:pt idx="15">
                  <c:v>0.83909472406394281</c:v>
                </c:pt>
                <c:pt idx="16">
                  <c:v>0.83961779360038269</c:v>
                </c:pt>
                <c:pt idx="17">
                  <c:v>0.8251083338067251</c:v>
                </c:pt>
                <c:pt idx="18">
                  <c:v>0.80322517072696198</c:v>
                </c:pt>
                <c:pt idx="19">
                  <c:v>0.77145887703841975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07C-4F90-BF7A-AF57BFD84D3F}"/>
            </c:ext>
          </c:extLst>
        </c:ser>
        <c:ser>
          <c:idx val="11"/>
          <c:order val="11"/>
          <c:tx>
            <c:v>Feb 22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month'!$AL$307:$AL$326</c:f>
              <c:numCache>
                <c:formatCode>0.000</c:formatCode>
                <c:ptCount val="20"/>
                <c:pt idx="0">
                  <c:v>0.69072091480517117</c:v>
                </c:pt>
                <c:pt idx="1">
                  <c:v>0.71432104511354755</c:v>
                </c:pt>
                <c:pt idx="2">
                  <c:v>0.76052961189286228</c:v>
                </c:pt>
                <c:pt idx="3">
                  <c:v>0.69878747560656118</c:v>
                </c:pt>
                <c:pt idx="4">
                  <c:v>0.77723865356629673</c:v>
                </c:pt>
                <c:pt idx="5">
                  <c:v>0.7820953823747393</c:v>
                </c:pt>
                <c:pt idx="6">
                  <c:v>0.81965446885972992</c:v>
                </c:pt>
                <c:pt idx="7">
                  <c:v>0.73460510932618239</c:v>
                </c:pt>
                <c:pt idx="8">
                  <c:v>0.78482360935704609</c:v>
                </c:pt>
                <c:pt idx="9">
                  <c:v>0.77670493777349925</c:v>
                </c:pt>
                <c:pt idx="10">
                  <c:v>0.86701700017831085</c:v>
                </c:pt>
                <c:pt idx="11">
                  <c:v>0.86166164856039229</c:v>
                </c:pt>
                <c:pt idx="12">
                  <c:v>0.85038396560416896</c:v>
                </c:pt>
                <c:pt idx="13">
                  <c:v>0.87055874606862371</c:v>
                </c:pt>
                <c:pt idx="14">
                  <c:v>0.86655791151787942</c:v>
                </c:pt>
                <c:pt idx="15">
                  <c:v>0.84767649181600246</c:v>
                </c:pt>
                <c:pt idx="16">
                  <c:v>0.80834107140145739</c:v>
                </c:pt>
                <c:pt idx="17">
                  <c:v>0.8165811695554519</c:v>
                </c:pt>
                <c:pt idx="18">
                  <c:v>0.79184128452611546</c:v>
                </c:pt>
                <c:pt idx="19">
                  <c:v>0.73162169320268389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807C-4F90-BF7A-AF57BFD84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"/>
          <c:min val="0.60000000000000009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Specific volume, cubic meters per kg dry air</a:t>
                </a:r>
              </a:p>
              <a:p>
                <a:pPr>
                  <a:defRPr/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Some data points shift right because of a higher 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0.1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Grams CO2</a:t>
            </a:r>
            <a:r>
              <a:rPr lang="en-CA" baseline="0"/>
              <a:t> per kg dry air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Jan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month'!$AR$280:$AR$299</c:f>
              <c:numCache>
                <c:formatCode>0.000</c:formatCode>
                <c:ptCount val="20"/>
                <c:pt idx="0">
                  <c:v>0.60748270914192148</c:v>
                </c:pt>
                <c:pt idx="1">
                  <c:v>0.5994920735909739</c:v>
                </c:pt>
                <c:pt idx="2">
                  <c:v>0.55648017676345507</c:v>
                </c:pt>
                <c:pt idx="3">
                  <c:v>0.62058417958448397</c:v>
                </c:pt>
                <c:pt idx="4">
                  <c:v>0.54037145048943758</c:v>
                </c:pt>
                <c:pt idx="5">
                  <c:v>0.53346932790312007</c:v>
                </c:pt>
                <c:pt idx="6">
                  <c:v>0.53913682433459831</c:v>
                </c:pt>
                <c:pt idx="7">
                  <c:v>0.56931203372950911</c:v>
                </c:pt>
                <c:pt idx="8">
                  <c:v>0.59321414660423555</c:v>
                </c:pt>
                <c:pt idx="9">
                  <c:v>0.575134207780854</c:v>
                </c:pt>
                <c:pt idx="10">
                  <c:v>0.52305267772597408</c:v>
                </c:pt>
                <c:pt idx="11">
                  <c:v>0.50129528796341505</c:v>
                </c:pt>
                <c:pt idx="12">
                  <c:v>0.49622832864137689</c:v>
                </c:pt>
                <c:pt idx="13">
                  <c:v>0.49282434666154795</c:v>
                </c:pt>
                <c:pt idx="14">
                  <c:v>0.48681945508645075</c:v>
                </c:pt>
                <c:pt idx="15">
                  <c:v>0.50626453007944927</c:v>
                </c:pt>
                <c:pt idx="16">
                  <c:v>0.50594913472327285</c:v>
                </c:pt>
                <c:pt idx="17">
                  <c:v>0.51484620717681895</c:v>
                </c:pt>
                <c:pt idx="18">
                  <c:v>0.52887273911735955</c:v>
                </c:pt>
                <c:pt idx="19">
                  <c:v>0.55065008494188517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FB-4807-8874-511EE81289BD}"/>
            </c:ext>
          </c:extLst>
        </c:ser>
        <c:ser>
          <c:idx val="1"/>
          <c:order val="1"/>
          <c:tx>
            <c:v>Mar 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month'!$AR$12:$AR$31</c:f>
              <c:numCache>
                <c:formatCode>0.000</c:formatCode>
                <c:ptCount val="20"/>
                <c:pt idx="0">
                  <c:v>0.61501525010314739</c:v>
                </c:pt>
                <c:pt idx="1">
                  <c:v>0.61182920862130319</c:v>
                </c:pt>
                <c:pt idx="2">
                  <c:v>0.55236045580213822</c:v>
                </c:pt>
                <c:pt idx="3">
                  <c:v>0.61545366375334154</c:v>
                </c:pt>
                <c:pt idx="4">
                  <c:v>0.51885078333922297</c:v>
                </c:pt>
                <c:pt idx="5">
                  <c:v>0.53537984570217412</c:v>
                </c:pt>
                <c:pt idx="6">
                  <c:v>0.53135735721403043</c:v>
                </c:pt>
                <c:pt idx="7">
                  <c:v>0.53608513027752791</c:v>
                </c:pt>
                <c:pt idx="8">
                  <c:v>0.54928655407543803</c:v>
                </c:pt>
                <c:pt idx="9">
                  <c:v>0.53091424291929923</c:v>
                </c:pt>
                <c:pt idx="10">
                  <c:v>0.50683572590042603</c:v>
                </c:pt>
                <c:pt idx="11">
                  <c:v>0.49794602949156497</c:v>
                </c:pt>
                <c:pt idx="12">
                  <c:v>0.49622832864137689</c:v>
                </c:pt>
                <c:pt idx="13">
                  <c:v>0.48957537836238074</c:v>
                </c:pt>
                <c:pt idx="14">
                  <c:v>0.49541075189974393</c:v>
                </c:pt>
                <c:pt idx="15">
                  <c:v>0.50799643058419852</c:v>
                </c:pt>
                <c:pt idx="16">
                  <c:v>0.51466301884552745</c:v>
                </c:pt>
                <c:pt idx="17">
                  <c:v>0.52203971516066183</c:v>
                </c:pt>
                <c:pt idx="18">
                  <c:v>0.54232410089063288</c:v>
                </c:pt>
                <c:pt idx="19">
                  <c:v>0.59928627104660037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FB-4807-8874-511EE81289BD}"/>
            </c:ext>
          </c:extLst>
        </c:ser>
        <c:ser>
          <c:idx val="2"/>
          <c:order val="2"/>
          <c:tx>
            <c:v>Apr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month'!$AR$38:$AR$57</c:f>
              <c:numCache>
                <c:formatCode>0.000</c:formatCode>
                <c:ptCount val="20"/>
                <c:pt idx="0">
                  <c:v>0.58595747962822797</c:v>
                </c:pt>
                <c:pt idx="1">
                  <c:v>0.57403426587915918</c:v>
                </c:pt>
                <c:pt idx="2">
                  <c:v>0.53075322556989935</c:v>
                </c:pt>
                <c:pt idx="3">
                  <c:v>0.56417039118486112</c:v>
                </c:pt>
                <c:pt idx="4">
                  <c:v>0.51327678340958993</c:v>
                </c:pt>
                <c:pt idx="5">
                  <c:v>0.52596213494337696</c:v>
                </c:pt>
                <c:pt idx="6">
                  <c:v>0.50755975170472312</c:v>
                </c:pt>
                <c:pt idx="7">
                  <c:v>0.51182353406078274</c:v>
                </c:pt>
                <c:pt idx="8">
                  <c:v>0.54928655407543803</c:v>
                </c:pt>
                <c:pt idx="9">
                  <c:v>0.52897811297440367</c:v>
                </c:pt>
                <c:pt idx="10">
                  <c:v>0.47265268011644879</c:v>
                </c:pt>
                <c:pt idx="11">
                  <c:v>0.49138037729792261</c:v>
                </c:pt>
                <c:pt idx="12">
                  <c:v>0.50290366682505305</c:v>
                </c:pt>
                <c:pt idx="13">
                  <c:v>0.48796695006369051</c:v>
                </c:pt>
                <c:pt idx="14">
                  <c:v>0.48015863817779464</c:v>
                </c:pt>
                <c:pt idx="15">
                  <c:v>0.50799643058419852</c:v>
                </c:pt>
                <c:pt idx="16">
                  <c:v>0.52552556241374138</c:v>
                </c:pt>
                <c:pt idx="17">
                  <c:v>0.52756859957341862</c:v>
                </c:pt>
                <c:pt idx="18">
                  <c:v>0.5403605910293674</c:v>
                </c:pt>
                <c:pt idx="19">
                  <c:v>0.63500000000000001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FB-4807-8874-511EE81289BD}"/>
            </c:ext>
          </c:extLst>
        </c:ser>
        <c:ser>
          <c:idx val="3"/>
          <c:order val="3"/>
          <c:tx>
            <c:v>May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month'!$AR$64:$AR$83</c:f>
              <c:numCache>
                <c:formatCode>0.000</c:formatCode>
                <c:ptCount val="20"/>
                <c:pt idx="0">
                  <c:v>0.56164221569274897</c:v>
                </c:pt>
                <c:pt idx="1">
                  <c:v>0.55476526017471439</c:v>
                </c:pt>
                <c:pt idx="2">
                  <c:v>0.54830150470282901</c:v>
                </c:pt>
                <c:pt idx="3">
                  <c:v>0.51718918030108374</c:v>
                </c:pt>
                <c:pt idx="4">
                  <c:v>0.49725306025754712</c:v>
                </c:pt>
                <c:pt idx="5">
                  <c:v>0.52228747259051944</c:v>
                </c:pt>
                <c:pt idx="6">
                  <c:v>0.51108077629289816</c:v>
                </c:pt>
                <c:pt idx="7">
                  <c:v>0.50479549961296855</c:v>
                </c:pt>
                <c:pt idx="8">
                  <c:v>0.49113614597208571</c:v>
                </c:pt>
                <c:pt idx="9">
                  <c:v>0.48805349539313092</c:v>
                </c:pt>
                <c:pt idx="10">
                  <c:v>0.47570773774288622</c:v>
                </c:pt>
                <c:pt idx="11">
                  <c:v>0.50298692002855516</c:v>
                </c:pt>
                <c:pt idx="12">
                  <c:v>0.50630934256252458</c:v>
                </c:pt>
                <c:pt idx="13">
                  <c:v>0.49611684998707334</c:v>
                </c:pt>
                <c:pt idx="14">
                  <c:v>0.49021985781225225</c:v>
                </c:pt>
                <c:pt idx="15">
                  <c:v>0.52046074933480435</c:v>
                </c:pt>
                <c:pt idx="16">
                  <c:v>0.53493543072947758</c:v>
                </c:pt>
                <c:pt idx="17">
                  <c:v>0.5389865473121539</c:v>
                </c:pt>
                <c:pt idx="18">
                  <c:v>0.53455474157865523</c:v>
                </c:pt>
                <c:pt idx="19">
                  <c:v>0.62436691954392687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FB-4807-8874-511EE81289BD}"/>
            </c:ext>
          </c:extLst>
        </c:ser>
        <c:ser>
          <c:idx val="4"/>
          <c:order val="4"/>
          <c:tx>
            <c:v>June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month'!$AR$91:$AR$110</c:f>
              <c:numCache>
                <c:formatCode>0.000</c:formatCode>
                <c:ptCount val="20"/>
                <c:pt idx="0">
                  <c:v>0.53732607078983974</c:v>
                </c:pt>
                <c:pt idx="1">
                  <c:v>0.53290762449226659</c:v>
                </c:pt>
                <c:pt idx="2">
                  <c:v>0.52515159112480247</c:v>
                </c:pt>
                <c:pt idx="3">
                  <c:v>0.52446653713300173</c:v>
                </c:pt>
                <c:pt idx="4">
                  <c:v>0.48877717572068391</c:v>
                </c:pt>
                <c:pt idx="5">
                  <c:v>0.48978644959509793</c:v>
                </c:pt>
                <c:pt idx="6">
                  <c:v>0.50236852156199574</c:v>
                </c:pt>
                <c:pt idx="7">
                  <c:v>0.50135358316559586</c:v>
                </c:pt>
                <c:pt idx="8">
                  <c:v>0.49772058951833614</c:v>
                </c:pt>
                <c:pt idx="9">
                  <c:v>0.50328740352031065</c:v>
                </c:pt>
                <c:pt idx="10">
                  <c:v>0.48036530085269397</c:v>
                </c:pt>
                <c:pt idx="11">
                  <c:v>0.49794602949156497</c:v>
                </c:pt>
                <c:pt idx="12">
                  <c:v>0.49954363364385446</c:v>
                </c:pt>
                <c:pt idx="13">
                  <c:v>0.49945377216504078</c:v>
                </c:pt>
                <c:pt idx="14">
                  <c:v>0.50071310665603441</c:v>
                </c:pt>
                <c:pt idx="15">
                  <c:v>0.50626453007944927</c:v>
                </c:pt>
                <c:pt idx="16">
                  <c:v>0.53879474192961796</c:v>
                </c:pt>
                <c:pt idx="17">
                  <c:v>0.5332162492033895</c:v>
                </c:pt>
                <c:pt idx="18">
                  <c:v>0.54232410089063288</c:v>
                </c:pt>
                <c:pt idx="19">
                  <c:v>0.58748987793131768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FB-4807-8874-511EE81289BD}"/>
            </c:ext>
          </c:extLst>
        </c:ser>
        <c:ser>
          <c:idx val="5"/>
          <c:order val="5"/>
          <c:tx>
            <c:v>July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xVal>
            <c:numRef>
              <c:f>'21st of month'!$AR$118:$AR$137</c:f>
              <c:numCache>
                <c:formatCode>0.000</c:formatCode>
                <c:ptCount val="20"/>
                <c:pt idx="0">
                  <c:v>0.53927142240061132</c:v>
                </c:pt>
                <c:pt idx="1">
                  <c:v>0.53482300784635417</c:v>
                </c:pt>
                <c:pt idx="2">
                  <c:v>0.53075322556989935</c:v>
                </c:pt>
                <c:pt idx="3">
                  <c:v>0.49323952729222947</c:v>
                </c:pt>
                <c:pt idx="4">
                  <c:v>0.47738637794070304</c:v>
                </c:pt>
                <c:pt idx="5">
                  <c:v>0.50808984844259142</c:v>
                </c:pt>
                <c:pt idx="6">
                  <c:v>0.49728271521013639</c:v>
                </c:pt>
                <c:pt idx="7">
                  <c:v>0.49460907120689024</c:v>
                </c:pt>
                <c:pt idx="8">
                  <c:v>0.5027763060742052</c:v>
                </c:pt>
                <c:pt idx="9">
                  <c:v>0.48479293817690555</c:v>
                </c:pt>
                <c:pt idx="10">
                  <c:v>0.47265268011644879</c:v>
                </c:pt>
                <c:pt idx="11">
                  <c:v>0.50129528796341505</c:v>
                </c:pt>
                <c:pt idx="12">
                  <c:v>0.50460074125195098</c:v>
                </c:pt>
                <c:pt idx="13">
                  <c:v>0.49777970254575904</c:v>
                </c:pt>
                <c:pt idx="14">
                  <c:v>0.4834660386521481</c:v>
                </c:pt>
                <c:pt idx="15">
                  <c:v>0.53164341188737707</c:v>
                </c:pt>
                <c:pt idx="16">
                  <c:v>0.52924936870787875</c:v>
                </c:pt>
                <c:pt idx="17">
                  <c:v>0.5332162492033895</c:v>
                </c:pt>
                <c:pt idx="18">
                  <c:v>0.54232410089063288</c:v>
                </c:pt>
                <c:pt idx="19">
                  <c:v>0.60907166470294383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FB-4807-8874-511EE81289BD}"/>
            </c:ext>
          </c:extLst>
        </c:ser>
        <c:ser>
          <c:idx val="6"/>
          <c:order val="6"/>
          <c:tx>
            <c:v>Aug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month'!$AR$145:$AR$164</c:f>
              <c:numCache>
                <c:formatCode>0.000</c:formatCode>
                <c:ptCount val="20"/>
                <c:pt idx="0">
                  <c:v>0.53927142240061132</c:v>
                </c:pt>
                <c:pt idx="1">
                  <c:v>0.52911785997965055</c:v>
                </c:pt>
                <c:pt idx="2">
                  <c:v>0.53647606467577003</c:v>
                </c:pt>
                <c:pt idx="3">
                  <c:v>0.52080235595260571</c:v>
                </c:pt>
                <c:pt idx="4">
                  <c:v>0.48711665535494442</c:v>
                </c:pt>
                <c:pt idx="5">
                  <c:v>0.51332228781182487</c:v>
                </c:pt>
                <c:pt idx="6">
                  <c:v>0.50066169922771797</c:v>
                </c:pt>
                <c:pt idx="7">
                  <c:v>0.50306863642737565</c:v>
                </c:pt>
                <c:pt idx="8">
                  <c:v>0.49440638339288545</c:v>
                </c:pt>
                <c:pt idx="9">
                  <c:v>0.49640063073371454</c:v>
                </c:pt>
                <c:pt idx="10">
                  <c:v>0.4772501640988327</c:v>
                </c:pt>
                <c:pt idx="11">
                  <c:v>0.49961502934773605</c:v>
                </c:pt>
                <c:pt idx="12">
                  <c:v>0.50290366682505305</c:v>
                </c:pt>
                <c:pt idx="13">
                  <c:v>0.49945377216504078</c:v>
                </c:pt>
                <c:pt idx="14">
                  <c:v>0.49716564232730565</c:v>
                </c:pt>
                <c:pt idx="15">
                  <c:v>0.52599245440003817</c:v>
                </c:pt>
                <c:pt idx="16">
                  <c:v>0.51823346623773858</c:v>
                </c:pt>
                <c:pt idx="17">
                  <c:v>0.52756859957341862</c:v>
                </c:pt>
                <c:pt idx="18">
                  <c:v>0.54830150470282901</c:v>
                </c:pt>
                <c:pt idx="19">
                  <c:v>0.62436691954392687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FB-4807-8874-511EE81289BD}"/>
            </c:ext>
          </c:extLst>
        </c:ser>
        <c:ser>
          <c:idx val="7"/>
          <c:order val="7"/>
          <c:tx>
            <c:v>Sep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month'!$AR$172:$AR$191</c:f>
              <c:numCache>
                <c:formatCode>0.000</c:formatCode>
                <c:ptCount val="20"/>
                <c:pt idx="0">
                  <c:v>0.55535839972077228</c:v>
                </c:pt>
                <c:pt idx="1">
                  <c:v>0.54262472986023158</c:v>
                </c:pt>
                <c:pt idx="2">
                  <c:v>0.54232410089063288</c:v>
                </c:pt>
                <c:pt idx="3">
                  <c:v>0.54161657099144167</c:v>
                </c:pt>
                <c:pt idx="4">
                  <c:v>0.49898374341900559</c:v>
                </c:pt>
                <c:pt idx="5">
                  <c:v>0.50466059286404186</c:v>
                </c:pt>
                <c:pt idx="6">
                  <c:v>0.51465114988417238</c:v>
                </c:pt>
                <c:pt idx="7">
                  <c:v>0.50828514878180131</c:v>
                </c:pt>
                <c:pt idx="8">
                  <c:v>0.50967972033646836</c:v>
                </c:pt>
                <c:pt idx="9">
                  <c:v>0.50857960002262448</c:v>
                </c:pt>
                <c:pt idx="10">
                  <c:v>0.48511522198564977</c:v>
                </c:pt>
                <c:pt idx="11">
                  <c:v>0.50129528796341505</c:v>
                </c:pt>
                <c:pt idx="12">
                  <c:v>0.49788044630830514</c:v>
                </c:pt>
                <c:pt idx="13">
                  <c:v>0.49945377216504078</c:v>
                </c:pt>
                <c:pt idx="14">
                  <c:v>0.49716564232730565</c:v>
                </c:pt>
                <c:pt idx="15">
                  <c:v>0.52786266684764604</c:v>
                </c:pt>
                <c:pt idx="16">
                  <c:v>0.51114158330002479</c:v>
                </c:pt>
                <c:pt idx="17">
                  <c:v>0.52203971516066183</c:v>
                </c:pt>
                <c:pt idx="18">
                  <c:v>0.53264717781991533</c:v>
                </c:pt>
                <c:pt idx="19">
                  <c:v>0.59215202096689945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6FB-4807-8874-511EE81289BD}"/>
            </c:ext>
          </c:extLst>
        </c:ser>
        <c:ser>
          <c:idx val="8"/>
          <c:order val="8"/>
          <c:tx>
            <c:v>Oct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month'!$AR$199:$AR$218</c:f>
              <c:numCache>
                <c:formatCode>0.000</c:formatCode>
                <c:ptCount val="20"/>
                <c:pt idx="0">
                  <c:v>0.55743726389860737</c:v>
                </c:pt>
                <c:pt idx="1">
                  <c:v>0.5674636573114904</c:v>
                </c:pt>
                <c:pt idx="2">
                  <c:v>0.54629439752400799</c:v>
                </c:pt>
                <c:pt idx="3">
                  <c:v>0.54758614910353565</c:v>
                </c:pt>
                <c:pt idx="4">
                  <c:v>0.50782165349675334</c:v>
                </c:pt>
                <c:pt idx="5">
                  <c:v>0.51866396256864888</c:v>
                </c:pt>
                <c:pt idx="6">
                  <c:v>0.51465114988417238</c:v>
                </c:pt>
                <c:pt idx="7">
                  <c:v>0.54201539567434665</c:v>
                </c:pt>
                <c:pt idx="8">
                  <c:v>0.52592998097513066</c:v>
                </c:pt>
                <c:pt idx="9">
                  <c:v>0.51765249115752332</c:v>
                </c:pt>
                <c:pt idx="10">
                  <c:v>0.48996028461150348</c:v>
                </c:pt>
                <c:pt idx="11">
                  <c:v>0.49794602949156497</c:v>
                </c:pt>
                <c:pt idx="12">
                  <c:v>0.50121800264377203</c:v>
                </c:pt>
                <c:pt idx="13">
                  <c:v>0.49611684998707334</c:v>
                </c:pt>
                <c:pt idx="14">
                  <c:v>0.47689630995723065</c:v>
                </c:pt>
                <c:pt idx="15">
                  <c:v>0.51149613549490358</c:v>
                </c:pt>
                <c:pt idx="16">
                  <c:v>0.51823346623773858</c:v>
                </c:pt>
                <c:pt idx="17">
                  <c:v>0.53512585767054921</c:v>
                </c:pt>
                <c:pt idx="18">
                  <c:v>0.52331064841674957</c:v>
                </c:pt>
                <c:pt idx="19">
                  <c:v>0.58518634391031066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6FB-4807-8874-511EE81289BD}"/>
            </c:ext>
          </c:extLst>
        </c:ser>
        <c:ser>
          <c:idx val="9"/>
          <c:order val="9"/>
          <c:tx>
            <c:v>Nov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month'!$AR$226:$AR$245</c:f>
              <c:numCache>
                <c:formatCode>0.000</c:formatCode>
                <c:ptCount val="20"/>
                <c:pt idx="0">
                  <c:v>0.60256312499859965</c:v>
                </c:pt>
                <c:pt idx="1">
                  <c:v>0.60436647941892252</c:v>
                </c:pt>
                <c:pt idx="2">
                  <c:v>0.55648017676345507</c:v>
                </c:pt>
                <c:pt idx="3">
                  <c:v>0.60791572688339768</c:v>
                </c:pt>
                <c:pt idx="4">
                  <c:v>0.54037145048943758</c:v>
                </c:pt>
                <c:pt idx="5">
                  <c:v>0.54316123805834371</c:v>
                </c:pt>
                <c:pt idx="6">
                  <c:v>0.5237999411576072</c:v>
                </c:pt>
                <c:pt idx="7">
                  <c:v>0.55427995998739898</c:v>
                </c:pt>
                <c:pt idx="8">
                  <c:v>0.53541528984352516</c:v>
                </c:pt>
                <c:pt idx="9">
                  <c:v>0.5328646479748832</c:v>
                </c:pt>
                <c:pt idx="10">
                  <c:v>0.48996028461150348</c:v>
                </c:pt>
                <c:pt idx="11">
                  <c:v>0.50129528796341505</c:v>
                </c:pt>
                <c:pt idx="12">
                  <c:v>0.49954363364385446</c:v>
                </c:pt>
                <c:pt idx="13">
                  <c:v>0.49446510176387054</c:v>
                </c:pt>
                <c:pt idx="14">
                  <c:v>0.46893171713023807</c:v>
                </c:pt>
                <c:pt idx="15">
                  <c:v>0.50626453007944927</c:v>
                </c:pt>
                <c:pt idx="16">
                  <c:v>0.52552556241374138</c:v>
                </c:pt>
                <c:pt idx="17">
                  <c:v>0.52756859957341862</c:v>
                </c:pt>
                <c:pt idx="18">
                  <c:v>0.52700557483149291</c:v>
                </c:pt>
                <c:pt idx="19">
                  <c:v>0.56739109788498376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6FB-4807-8874-511EE81289BD}"/>
            </c:ext>
          </c:extLst>
        </c:ser>
        <c:ser>
          <c:idx val="10"/>
          <c:order val="10"/>
          <c:tx>
            <c:v>Dec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month'!$AR$253:$AR$272</c:f>
              <c:numCache>
                <c:formatCode>0.000</c:formatCode>
                <c:ptCount val="20"/>
                <c:pt idx="0">
                  <c:v>0.59772296373636458</c:v>
                </c:pt>
                <c:pt idx="1">
                  <c:v>0.60436647941892252</c:v>
                </c:pt>
                <c:pt idx="2">
                  <c:v>0.56277673385675009</c:v>
                </c:pt>
                <c:pt idx="3">
                  <c:v>0.57953154303823673</c:v>
                </c:pt>
                <c:pt idx="4">
                  <c:v>0.54864825998844846</c:v>
                </c:pt>
                <c:pt idx="5">
                  <c:v>0.5451421842392572</c:v>
                </c:pt>
                <c:pt idx="6">
                  <c:v>0.52944756272537896</c:v>
                </c:pt>
                <c:pt idx="7">
                  <c:v>0.58286387067136902</c:v>
                </c:pt>
                <c:pt idx="8">
                  <c:v>0.55132727089695077</c:v>
                </c:pt>
                <c:pt idx="9">
                  <c:v>0.55319004438478592</c:v>
                </c:pt>
                <c:pt idx="10">
                  <c:v>0.49825473629142603</c:v>
                </c:pt>
                <c:pt idx="11">
                  <c:v>0.49300545855802169</c:v>
                </c:pt>
                <c:pt idx="12">
                  <c:v>0.50121800264377203</c:v>
                </c:pt>
                <c:pt idx="13">
                  <c:v>0.49446510176387054</c:v>
                </c:pt>
                <c:pt idx="14">
                  <c:v>0.46893171713023807</c:v>
                </c:pt>
                <c:pt idx="15">
                  <c:v>0.50626453007944927</c:v>
                </c:pt>
                <c:pt idx="16">
                  <c:v>0.52368330466799007</c:v>
                </c:pt>
                <c:pt idx="17">
                  <c:v>0.52756859957341862</c:v>
                </c:pt>
                <c:pt idx="18">
                  <c:v>0.5142968006055112</c:v>
                </c:pt>
                <c:pt idx="19">
                  <c:v>0.55474168673901769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6FB-4807-8874-511EE81289BD}"/>
            </c:ext>
          </c:extLst>
        </c:ser>
        <c:ser>
          <c:idx val="11"/>
          <c:order val="11"/>
          <c:tx>
            <c:v>Jan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month'!$AR$280:$AR$299</c:f>
              <c:numCache>
                <c:formatCode>0.000</c:formatCode>
                <c:ptCount val="20"/>
                <c:pt idx="0">
                  <c:v>0.60748270914192148</c:v>
                </c:pt>
                <c:pt idx="1">
                  <c:v>0.5994920735909739</c:v>
                </c:pt>
                <c:pt idx="2">
                  <c:v>0.55648017676345507</c:v>
                </c:pt>
                <c:pt idx="3">
                  <c:v>0.62058417958448397</c:v>
                </c:pt>
                <c:pt idx="4">
                  <c:v>0.54037145048943758</c:v>
                </c:pt>
                <c:pt idx="5">
                  <c:v>0.53346932790312007</c:v>
                </c:pt>
                <c:pt idx="6">
                  <c:v>0.53913682433459831</c:v>
                </c:pt>
                <c:pt idx="7">
                  <c:v>0.56931203372950911</c:v>
                </c:pt>
                <c:pt idx="8">
                  <c:v>0.59321414660423555</c:v>
                </c:pt>
                <c:pt idx="9">
                  <c:v>0.575134207780854</c:v>
                </c:pt>
                <c:pt idx="10">
                  <c:v>0.52305267772597408</c:v>
                </c:pt>
                <c:pt idx="11">
                  <c:v>0.50129528796341505</c:v>
                </c:pt>
                <c:pt idx="12">
                  <c:v>0.49622832864137689</c:v>
                </c:pt>
                <c:pt idx="13">
                  <c:v>0.49282434666154795</c:v>
                </c:pt>
                <c:pt idx="14">
                  <c:v>0.48681945508645075</c:v>
                </c:pt>
                <c:pt idx="15">
                  <c:v>0.50626453007944927</c:v>
                </c:pt>
                <c:pt idx="16">
                  <c:v>0.50594913472327285</c:v>
                </c:pt>
                <c:pt idx="17">
                  <c:v>0.51484620717681895</c:v>
                </c:pt>
                <c:pt idx="18">
                  <c:v>0.52887273911735955</c:v>
                </c:pt>
                <c:pt idx="19">
                  <c:v>0.55065008494188517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6FB-4807-8874-511EE81289BD}"/>
            </c:ext>
          </c:extLst>
        </c:ser>
        <c:ser>
          <c:idx val="12"/>
          <c:order val="12"/>
          <c:tx>
            <c:v>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month'!$AR$307:$AR$326</c:f>
              <c:numCache>
                <c:formatCode>0.000</c:formatCode>
                <c:ptCount val="20"/>
                <c:pt idx="0">
                  <c:v>0.61501525010314739</c:v>
                </c:pt>
                <c:pt idx="1">
                  <c:v>0.59469603909380953</c:v>
                </c:pt>
                <c:pt idx="2">
                  <c:v>0.55856325582523181</c:v>
                </c:pt>
                <c:pt idx="3">
                  <c:v>0.60791572688339768</c:v>
                </c:pt>
                <c:pt idx="4">
                  <c:v>0.54655528803308839</c:v>
                </c:pt>
                <c:pt idx="5">
                  <c:v>0.54316123805834371</c:v>
                </c:pt>
                <c:pt idx="6">
                  <c:v>0.51827192104661746</c:v>
                </c:pt>
                <c:pt idx="7">
                  <c:v>0.57827517230315628</c:v>
                </c:pt>
                <c:pt idx="8">
                  <c:v>0.54127308493992776</c:v>
                </c:pt>
                <c:pt idx="9">
                  <c:v>0.54693085560665944</c:v>
                </c:pt>
                <c:pt idx="10">
                  <c:v>0.48996028461150348</c:v>
                </c:pt>
                <c:pt idx="11">
                  <c:v>0.49300545855802169</c:v>
                </c:pt>
                <c:pt idx="12">
                  <c:v>0.49954363364385446</c:v>
                </c:pt>
                <c:pt idx="13">
                  <c:v>0.48796695006369051</c:v>
                </c:pt>
                <c:pt idx="14">
                  <c:v>0.49021985781225225</c:v>
                </c:pt>
                <c:pt idx="15">
                  <c:v>0.50113917310636658</c:v>
                </c:pt>
                <c:pt idx="16">
                  <c:v>0.52552556241374138</c:v>
                </c:pt>
                <c:pt idx="17">
                  <c:v>0.52022249839736201</c:v>
                </c:pt>
                <c:pt idx="18">
                  <c:v>0.53647606467577003</c:v>
                </c:pt>
                <c:pt idx="19">
                  <c:v>0.58063327005900045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6FB-4807-8874-511EE812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00976"/>
        <c:axId val="352200616"/>
      </c:scatterChart>
      <c:valAx>
        <c:axId val="352200976"/>
        <c:scaling>
          <c:orientation val="minMax"/>
          <c:max val="0.70000000000000007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200616"/>
        <c:crosses val="autoZero"/>
        <c:crossBetween val="midCat"/>
      </c:valAx>
      <c:valAx>
        <c:axId val="35220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20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smoothMarker"/>
        <c:varyColors val="0"/>
        <c:ser>
          <c:idx val="11"/>
          <c:order val="0"/>
          <c:tx>
            <c:v>New April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7C-4D91-8231-7CF48BB71175}"/>
            </c:ext>
          </c:extLst>
        </c:ser>
        <c:ser>
          <c:idx val="0"/>
          <c:order val="1"/>
          <c:tx>
            <c:v>New March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>
                    <a:lumMod val="25000"/>
                    <a:lumOff val="75000"/>
                  </a:schemeClr>
                </a:solidFill>
              </a:ln>
              <a:effectLst/>
            </c:spPr>
          </c:marker>
          <c:xVal>
            <c:numRef>
              <c:f>'21st of month'!$BQ$12:$BQ$30</c:f>
              <c:numCache>
                <c:formatCode>0</c:formatCode>
                <c:ptCount val="19"/>
                <c:pt idx="0">
                  <c:v>6686.5987904800577</c:v>
                </c:pt>
                <c:pt idx="1">
                  <c:v>4703.1083025400349</c:v>
                </c:pt>
                <c:pt idx="2">
                  <c:v>3830.3096054652128</c:v>
                </c:pt>
                <c:pt idx="3">
                  <c:v>6212.6978070077248</c:v>
                </c:pt>
                <c:pt idx="4">
                  <c:v>1108.795226104407</c:v>
                </c:pt>
                <c:pt idx="5">
                  <c:v>4406.5268331042435</c:v>
                </c:pt>
                <c:pt idx="6">
                  <c:v>3551.4349798464013</c:v>
                </c:pt>
                <c:pt idx="7">
                  <c:v>3804.1777368396242</c:v>
                </c:pt>
                <c:pt idx="8">
                  <c:v>3144.6951791398183</c:v>
                </c:pt>
                <c:pt idx="9">
                  <c:v>3103.2083175120961</c:v>
                </c:pt>
                <c:pt idx="10">
                  <c:v>1926.9668220538267</c:v>
                </c:pt>
                <c:pt idx="11">
                  <c:v>6392.464666397047</c:v>
                </c:pt>
                <c:pt idx="12">
                  <c:v>6585.6095631051021</c:v>
                </c:pt>
                <c:pt idx="13">
                  <c:v>5900.0526276365426</c:v>
                </c:pt>
                <c:pt idx="14">
                  <c:v>3267.417165829941</c:v>
                </c:pt>
                <c:pt idx="15">
                  <c:v>6117.2450557645689</c:v>
                </c:pt>
                <c:pt idx="16">
                  <c:v>4675.2591248534527</c:v>
                </c:pt>
                <c:pt idx="17">
                  <c:v>5262.7050373241846</c:v>
                </c:pt>
                <c:pt idx="18">
                  <c:v>3904.608788996562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48-472D-A659-440946C501EB}"/>
            </c:ext>
          </c:extLst>
        </c:ser>
        <c:ser>
          <c:idx val="1"/>
          <c:order val="2"/>
          <c:tx>
            <c:v>New April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month'!$BQ$38:$BQ$56</c:f>
              <c:numCache>
                <c:formatCode>0</c:formatCode>
                <c:ptCount val="19"/>
                <c:pt idx="0">
                  <c:v>2598.6297581910471</c:v>
                </c:pt>
                <c:pt idx="1">
                  <c:v>2812.663373214988</c:v>
                </c:pt>
                <c:pt idx="2">
                  <c:v>2214.8705307888335</c:v>
                </c:pt>
                <c:pt idx="3">
                  <c:v>2691.1106314951298</c:v>
                </c:pt>
                <c:pt idx="4">
                  <c:v>2598.3922990268502</c:v>
                </c:pt>
                <c:pt idx="5">
                  <c:v>4374.0877161772578</c:v>
                </c:pt>
                <c:pt idx="6">
                  <c:v>3361.2851403900131</c:v>
                </c:pt>
                <c:pt idx="7">
                  <c:v>2993.4063557094814</c:v>
                </c:pt>
                <c:pt idx="8">
                  <c:v>4021.2328701434803</c:v>
                </c:pt>
                <c:pt idx="9">
                  <c:v>1770.5344076368522</c:v>
                </c:pt>
                <c:pt idx="10">
                  <c:v>1001.0943670576848</c:v>
                </c:pt>
                <c:pt idx="11">
                  <c:v>6094.3752364481716</c:v>
                </c:pt>
                <c:pt idx="12">
                  <c:v>6560.5967035217373</c:v>
                </c:pt>
                <c:pt idx="13">
                  <c:v>5692.6569017732891</c:v>
                </c:pt>
                <c:pt idx="14">
                  <c:v>2927.9966860151485</c:v>
                </c:pt>
                <c:pt idx="15">
                  <c:v>5869.0189244263165</c:v>
                </c:pt>
                <c:pt idx="16">
                  <c:v>4107.5576914594712</c:v>
                </c:pt>
                <c:pt idx="17">
                  <c:v>5334.0934574585181</c:v>
                </c:pt>
                <c:pt idx="18">
                  <c:v>4453.0853812508976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248-472D-A659-440946C501EB}"/>
            </c:ext>
          </c:extLst>
        </c:ser>
        <c:ser>
          <c:idx val="2"/>
          <c:order val="3"/>
          <c:tx>
            <c:v>New May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month'!$BQ$64:$BQ$83</c:f>
              <c:numCache>
                <c:formatCode>0</c:formatCode>
                <c:ptCount val="20"/>
                <c:pt idx="0">
                  <c:v>3142.8098908160332</c:v>
                </c:pt>
                <c:pt idx="1">
                  <c:v>3243.2461370285441</c:v>
                </c:pt>
                <c:pt idx="2">
                  <c:v>4813.3194410771075</c:v>
                </c:pt>
                <c:pt idx="3">
                  <c:v>2201.9445751661974</c:v>
                </c:pt>
                <c:pt idx="4">
                  <c:v>1076.2007635064301</c:v>
                </c:pt>
                <c:pt idx="5">
                  <c:v>4397.431812677245</c:v>
                </c:pt>
                <c:pt idx="6">
                  <c:v>4081.9052884007451</c:v>
                </c:pt>
                <c:pt idx="7">
                  <c:v>4204.3252177776185</c:v>
                </c:pt>
                <c:pt idx="8">
                  <c:v>3968.184664802925</c:v>
                </c:pt>
                <c:pt idx="9">
                  <c:v>5352.5432142021282</c:v>
                </c:pt>
                <c:pt idx="10">
                  <c:v>1815.5194514450875</c:v>
                </c:pt>
                <c:pt idx="11">
                  <c:v>6600.9455540467916</c:v>
                </c:pt>
                <c:pt idx="12">
                  <c:v>6537.9196261296283</c:v>
                </c:pt>
                <c:pt idx="13">
                  <c:v>6139.1876112439213</c:v>
                </c:pt>
                <c:pt idx="14">
                  <c:v>2591.4582692932286</c:v>
                </c:pt>
                <c:pt idx="15">
                  <c:v>4248.3183515181809</c:v>
                </c:pt>
                <c:pt idx="16">
                  <c:v>4612.2865631059931</c:v>
                </c:pt>
                <c:pt idx="17">
                  <c:v>4678.3197209436767</c:v>
                </c:pt>
                <c:pt idx="18">
                  <c:v>5146.9479662493177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248-472D-A659-440946C501EB}"/>
            </c:ext>
          </c:extLst>
        </c:ser>
        <c:ser>
          <c:idx val="3"/>
          <c:order val="4"/>
          <c:tx>
            <c:v>New June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month'!$BQ$91:$BQ$110</c:f>
              <c:numCache>
                <c:formatCode>0</c:formatCode>
                <c:ptCount val="20"/>
                <c:pt idx="0">
                  <c:v>3871.2921573459498</c:v>
                </c:pt>
                <c:pt idx="1">
                  <c:v>4788.5725507990956</c:v>
                </c:pt>
                <c:pt idx="2">
                  <c:v>5787.4046154745138</c:v>
                </c:pt>
                <c:pt idx="3">
                  <c:v>3770.5018390420141</c:v>
                </c:pt>
                <c:pt idx="4">
                  <c:v>2505.2700080813265</c:v>
                </c:pt>
                <c:pt idx="5">
                  <c:v>4047.6445485950958</c:v>
                </c:pt>
                <c:pt idx="6">
                  <c:v>4404.4800965285494</c:v>
                </c:pt>
                <c:pt idx="7">
                  <c:v>4267.0324549926572</c:v>
                </c:pt>
                <c:pt idx="8">
                  <c:v>5290.8429247696604</c:v>
                </c:pt>
                <c:pt idx="9">
                  <c:v>2875.1731527829438</c:v>
                </c:pt>
                <c:pt idx="10">
                  <c:v>1424.6271140772753</c:v>
                </c:pt>
                <c:pt idx="11">
                  <c:v>6392.464666397047</c:v>
                </c:pt>
                <c:pt idx="12">
                  <c:v>6635.5309519587536</c:v>
                </c:pt>
                <c:pt idx="13">
                  <c:v>5719.0606266874174</c:v>
                </c:pt>
                <c:pt idx="14">
                  <c:v>3193.008325524273</c:v>
                </c:pt>
                <c:pt idx="15">
                  <c:v>2689.7119110046719</c:v>
                </c:pt>
                <c:pt idx="16">
                  <c:v>4795.9406061799691</c:v>
                </c:pt>
                <c:pt idx="17">
                  <c:v>3762.7925286594336</c:v>
                </c:pt>
                <c:pt idx="18">
                  <c:v>4749.796973945131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248-472D-A659-440946C501EB}"/>
            </c:ext>
          </c:extLst>
        </c:ser>
        <c:ser>
          <c:idx val="4"/>
          <c:order val="5"/>
          <c:tx>
            <c:v>New July 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month'!$BQ$118:$BQ$137</c:f>
              <c:numCache>
                <c:formatCode>0</c:formatCode>
                <c:ptCount val="20"/>
                <c:pt idx="0">
                  <c:v>0</c:v>
                </c:pt>
                <c:pt idx="1">
                  <c:v>5190.3542638104982</c:v>
                </c:pt>
                <c:pt idx="2">
                  <c:v>3769.2245344922167</c:v>
                </c:pt>
                <c:pt idx="3">
                  <c:v>3695.7395883113804</c:v>
                </c:pt>
                <c:pt idx="4">
                  <c:v>1629.8297865553263</c:v>
                </c:pt>
                <c:pt idx="5">
                  <c:v>3896.3495257405011</c:v>
                </c:pt>
                <c:pt idx="6">
                  <c:v>5638.8255687660521</c:v>
                </c:pt>
                <c:pt idx="7">
                  <c:v>6260.5217737864978</c:v>
                </c:pt>
                <c:pt idx="8">
                  <c:v>4629.3041139626876</c:v>
                </c:pt>
                <c:pt idx="9">
                  <c:v>5101.8746290830331</c:v>
                </c:pt>
                <c:pt idx="10">
                  <c:v>1634.012067809035</c:v>
                </c:pt>
                <c:pt idx="11">
                  <c:v>6435.8884750497991</c:v>
                </c:pt>
                <c:pt idx="12">
                  <c:v>6915.1990972264402</c:v>
                </c:pt>
                <c:pt idx="13">
                  <c:v>6232.4944256743747</c:v>
                </c:pt>
                <c:pt idx="14">
                  <c:v>2976.9706509653211</c:v>
                </c:pt>
                <c:pt idx="15">
                  <c:v>4443.97089225936</c:v>
                </c:pt>
                <c:pt idx="16">
                  <c:v>4350.2779310530732</c:v>
                </c:pt>
                <c:pt idx="17">
                  <c:v>4744.7012755219685</c:v>
                </c:pt>
                <c:pt idx="18">
                  <c:v>4749.796973945131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248-472D-A659-440946C501EB}"/>
            </c:ext>
          </c:extLst>
        </c:ser>
        <c:ser>
          <c:idx val="5"/>
          <c:order val="6"/>
          <c:tx>
            <c:v>New Aug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month'!$BQ$145:$BQ$164</c:f>
              <c:numCache>
                <c:formatCode>0</c:formatCode>
                <c:ptCount val="20"/>
                <c:pt idx="0">
                  <c:v>5054.4088537489997</c:v>
                </c:pt>
                <c:pt idx="1">
                  <c:v>5040.475594821286</c:v>
                </c:pt>
                <c:pt idx="2">
                  <c:v>4208.7848336135348</c:v>
                </c:pt>
                <c:pt idx="3">
                  <c:v>4451.254190769987</c:v>
                </c:pt>
                <c:pt idx="4">
                  <c:v>1924.4018924840154</c:v>
                </c:pt>
                <c:pt idx="5">
                  <c:v>4990.239119668523</c:v>
                </c:pt>
                <c:pt idx="6">
                  <c:v>5120.2000511875085</c:v>
                </c:pt>
                <c:pt idx="7">
                  <c:v>5964.9847277408917</c:v>
                </c:pt>
                <c:pt idx="8">
                  <c:v>5838.5138623324892</c:v>
                </c:pt>
                <c:pt idx="9">
                  <c:v>3858.0683579868642</c:v>
                </c:pt>
                <c:pt idx="10">
                  <c:v>1638.277853449968</c:v>
                </c:pt>
                <c:pt idx="11">
                  <c:v>6525.2420189810791</c:v>
                </c:pt>
                <c:pt idx="12">
                  <c:v>6800.6267424957887</c:v>
                </c:pt>
                <c:pt idx="13">
                  <c:v>6319.102322181272</c:v>
                </c:pt>
                <c:pt idx="14">
                  <c:v>3689.3609305627906</c:v>
                </c:pt>
                <c:pt idx="15">
                  <c:v>4951.270562681817</c:v>
                </c:pt>
                <c:pt idx="16">
                  <c:v>3718.9363031704443</c:v>
                </c:pt>
                <c:pt idx="17">
                  <c:v>3887.2960021400454</c:v>
                </c:pt>
                <c:pt idx="18">
                  <c:v>4697.0166865654428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248-472D-A659-440946C501EB}"/>
            </c:ext>
          </c:extLst>
        </c:ser>
        <c:ser>
          <c:idx val="6"/>
          <c:order val="7"/>
          <c:tx>
            <c:v>New Sep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month'!$BQ$172:$BQ$191</c:f>
              <c:numCache>
                <c:formatCode>0</c:formatCode>
                <c:ptCount val="20"/>
                <c:pt idx="0">
                  <c:v>4079.6270125545566</c:v>
                </c:pt>
                <c:pt idx="1">
                  <c:v>4033.5429975820566</c:v>
                </c:pt>
                <c:pt idx="2">
                  <c:v>3725.8892314490631</c:v>
                </c:pt>
                <c:pt idx="3">
                  <c:v>3701.6524054173497</c:v>
                </c:pt>
                <c:pt idx="4">
                  <c:v>1580.4256261294558</c:v>
                </c:pt>
                <c:pt idx="5">
                  <c:v>3493.3600496182544</c:v>
                </c:pt>
                <c:pt idx="6">
                  <c:v>5284.0747584459223</c:v>
                </c:pt>
                <c:pt idx="7">
                  <c:v>5228.7476841239077</c:v>
                </c:pt>
                <c:pt idx="8">
                  <c:v>4714.7513717191214</c:v>
                </c:pt>
                <c:pt idx="9">
                  <c:v>4140.4863729028075</c:v>
                </c:pt>
                <c:pt idx="10">
                  <c:v>1656.2242858768104</c:v>
                </c:pt>
                <c:pt idx="11">
                  <c:v>6392.1453339670834</c:v>
                </c:pt>
                <c:pt idx="12">
                  <c:v>6451.8056491717643</c:v>
                </c:pt>
                <c:pt idx="13">
                  <c:v>6319.102322181272</c:v>
                </c:pt>
                <c:pt idx="14">
                  <c:v>3976.6610785376306</c:v>
                </c:pt>
                <c:pt idx="15">
                  <c:v>5113.2328124668238</c:v>
                </c:pt>
                <c:pt idx="16">
                  <c:v>3528.1179340188037</c:v>
                </c:pt>
                <c:pt idx="17">
                  <c:v>3215.1553788701176</c:v>
                </c:pt>
                <c:pt idx="18">
                  <c:v>5312.7872399912121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248-472D-A659-440946C501EB}"/>
            </c:ext>
          </c:extLst>
        </c:ser>
        <c:ser>
          <c:idx val="7"/>
          <c:order val="8"/>
          <c:tx>
            <c:v>New Oct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month'!$BQ$199:$BQ$218</c:f>
              <c:numCache>
                <c:formatCode>0</c:formatCode>
                <c:ptCount val="20"/>
                <c:pt idx="0">
                  <c:v>3736.0498895225383</c:v>
                </c:pt>
                <c:pt idx="1">
                  <c:v>3465.309071755049</c:v>
                </c:pt>
                <c:pt idx="2">
                  <c:v>3375.8724220134764</c:v>
                </c:pt>
                <c:pt idx="3">
                  <c:v>4227.971780238162</c:v>
                </c:pt>
                <c:pt idx="4">
                  <c:v>2026.4787800437514</c:v>
                </c:pt>
                <c:pt idx="5">
                  <c:v>4354.3032684906439</c:v>
                </c:pt>
                <c:pt idx="6">
                  <c:v>5564.723045409276</c:v>
                </c:pt>
                <c:pt idx="7">
                  <c:v>3801.5505718643826</c:v>
                </c:pt>
                <c:pt idx="8">
                  <c:v>5239.0317424586128</c:v>
                </c:pt>
                <c:pt idx="9">
                  <c:v>3120.1782261074627</c:v>
                </c:pt>
                <c:pt idx="10">
                  <c:v>2762.1435036256216</c:v>
                </c:pt>
                <c:pt idx="11">
                  <c:v>6613.6264387523315</c:v>
                </c:pt>
                <c:pt idx="12">
                  <c:v>6678.0408331700246</c:v>
                </c:pt>
                <c:pt idx="13">
                  <c:v>6139.1876112439213</c:v>
                </c:pt>
                <c:pt idx="14">
                  <c:v>2997.9819285009166</c:v>
                </c:pt>
                <c:pt idx="15">
                  <c:v>5675.8835876245821</c:v>
                </c:pt>
                <c:pt idx="16">
                  <c:v>5058.9235415959993</c:v>
                </c:pt>
                <c:pt idx="17">
                  <c:v>4964.2276404143904</c:v>
                </c:pt>
                <c:pt idx="18">
                  <c:v>2515.022030221101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248-472D-A659-440946C501EB}"/>
            </c:ext>
          </c:extLst>
        </c:ser>
        <c:ser>
          <c:idx val="8"/>
          <c:order val="9"/>
          <c:tx>
            <c:v>New Nov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month'!$BQ$226:$BQ$245</c:f>
              <c:numCache>
                <c:formatCode>0</c:formatCode>
                <c:ptCount val="20"/>
                <c:pt idx="0">
                  <c:v>3659.0365243802798</c:v>
                </c:pt>
                <c:pt idx="1">
                  <c:v>3690.0366990932512</c:v>
                </c:pt>
                <c:pt idx="2">
                  <c:v>3182.3078616852936</c:v>
                </c:pt>
                <c:pt idx="3">
                  <c:v>4416.3260429516295</c:v>
                </c:pt>
                <c:pt idx="4">
                  <c:v>1215.4618485862902</c:v>
                </c:pt>
                <c:pt idx="5">
                  <c:v>4988.4631220573101</c:v>
                </c:pt>
                <c:pt idx="6">
                  <c:v>4673.539591584381</c:v>
                </c:pt>
                <c:pt idx="7">
                  <c:v>3404.7826549190031</c:v>
                </c:pt>
                <c:pt idx="8">
                  <c:v>4242.5422706888985</c:v>
                </c:pt>
                <c:pt idx="9">
                  <c:v>2530.706178936156</c:v>
                </c:pt>
                <c:pt idx="10">
                  <c:v>2221.1016765489908</c:v>
                </c:pt>
                <c:pt idx="11">
                  <c:v>6435.8884750497991</c:v>
                </c:pt>
                <c:pt idx="12">
                  <c:v>6316.1566436316571</c:v>
                </c:pt>
                <c:pt idx="13">
                  <c:v>5789.6818681124605</c:v>
                </c:pt>
                <c:pt idx="14">
                  <c:v>2852.3588879090435</c:v>
                </c:pt>
                <c:pt idx="15">
                  <c:v>5730.4653797378523</c:v>
                </c:pt>
                <c:pt idx="16">
                  <c:v>5032.4505171445799</c:v>
                </c:pt>
                <c:pt idx="17">
                  <c:v>5175.1482636985556</c:v>
                </c:pt>
                <c:pt idx="18">
                  <c:v>2583.0526306664765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D5-4850-BC75-305713866EF8}"/>
            </c:ext>
          </c:extLst>
        </c:ser>
        <c:ser>
          <c:idx val="9"/>
          <c:order val="10"/>
          <c:tx>
            <c:v>New Dec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month'!$BQ$253:$BQ$272</c:f>
              <c:numCache>
                <c:formatCode>0</c:formatCode>
                <c:ptCount val="20"/>
                <c:pt idx="0">
                  <c:v>3068.2716252194496</c:v>
                </c:pt>
                <c:pt idx="1">
                  <c:v>3062.8617480225257</c:v>
                </c:pt>
                <c:pt idx="2">
                  <c:v>3417.4133210304208</c:v>
                </c:pt>
                <c:pt idx="3">
                  <c:v>3258.7273233920455</c:v>
                </c:pt>
                <c:pt idx="4">
                  <c:v>2171.1023014435336</c:v>
                </c:pt>
                <c:pt idx="5">
                  <c:v>4592.8700683312572</c:v>
                </c:pt>
                <c:pt idx="6">
                  <c:v>4422.7613941913178</c:v>
                </c:pt>
                <c:pt idx="7">
                  <c:v>1461.9748672172082</c:v>
                </c:pt>
                <c:pt idx="8">
                  <c:v>2439.4130937418709</c:v>
                </c:pt>
                <c:pt idx="9">
                  <c:v>2954.743227645356</c:v>
                </c:pt>
                <c:pt idx="10">
                  <c:v>2115.4866644555805</c:v>
                </c:pt>
                <c:pt idx="11">
                  <c:v>6424.8828065921334</c:v>
                </c:pt>
                <c:pt idx="12">
                  <c:v>6547.0628022306864</c:v>
                </c:pt>
                <c:pt idx="13">
                  <c:v>5940.5868552379143</c:v>
                </c:pt>
                <c:pt idx="14">
                  <c:v>3056.0340864200521</c:v>
                </c:pt>
                <c:pt idx="15">
                  <c:v>5730.4653797378523</c:v>
                </c:pt>
                <c:pt idx="16">
                  <c:v>3433.0267325347745</c:v>
                </c:pt>
                <c:pt idx="17">
                  <c:v>5722.8750624233635</c:v>
                </c:pt>
                <c:pt idx="18">
                  <c:v>3622.790226944614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46-4DAD-911C-462552BF3ADA}"/>
            </c:ext>
          </c:extLst>
        </c:ser>
        <c:ser>
          <c:idx val="10"/>
          <c:order val="11"/>
          <c:tx>
            <c:v>New Jan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month'!$BQ$280:$BQ$299</c:f>
              <c:numCache>
                <c:formatCode>0</c:formatCode>
                <c:ptCount val="20"/>
                <c:pt idx="0">
                  <c:v>5384.5846390191355</c:v>
                </c:pt>
                <c:pt idx="1">
                  <c:v>2937.7536414004448</c:v>
                </c:pt>
                <c:pt idx="2">
                  <c:v>3386.4947474409196</c:v>
                </c:pt>
                <c:pt idx="3">
                  <c:v>9820.2731218842782</c:v>
                </c:pt>
                <c:pt idx="4">
                  <c:v>1490.1769217134188</c:v>
                </c:pt>
                <c:pt idx="5">
                  <c:v>4621.276707922867</c:v>
                </c:pt>
                <c:pt idx="6">
                  <c:v>2593.4263182972363</c:v>
                </c:pt>
                <c:pt idx="7">
                  <c:v>1386.4966636327117</c:v>
                </c:pt>
                <c:pt idx="8">
                  <c:v>3273.0773875108362</c:v>
                </c:pt>
                <c:pt idx="9">
                  <c:v>2259.0941778485562</c:v>
                </c:pt>
                <c:pt idx="10">
                  <c:v>2160.1050150816109</c:v>
                </c:pt>
                <c:pt idx="11">
                  <c:v>6392.1453339670834</c:v>
                </c:pt>
                <c:pt idx="12">
                  <c:v>6050.0663206425461</c:v>
                </c:pt>
                <c:pt idx="13">
                  <c:v>6585.4947963940267</c:v>
                </c:pt>
                <c:pt idx="14">
                  <c:v>2078.5387110069787</c:v>
                </c:pt>
                <c:pt idx="15">
                  <c:v>5497.6296415372735</c:v>
                </c:pt>
                <c:pt idx="16">
                  <c:v>3832.3145121187908</c:v>
                </c:pt>
                <c:pt idx="17">
                  <c:v>4462.6994929192551</c:v>
                </c:pt>
                <c:pt idx="18">
                  <c:v>5320.8684926536635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46-4DAD-911C-462552BF3ADA}"/>
            </c:ext>
          </c:extLst>
        </c:ser>
        <c:ser>
          <c:idx val="12"/>
          <c:order val="12"/>
          <c:tx>
            <c:v>New Feb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month'!$BQ$307:$BQ$326</c:f>
              <c:numCache>
                <c:formatCode>0</c:formatCode>
                <c:ptCount val="20"/>
                <c:pt idx="0">
                  <c:v>5620.4427439437459</c:v>
                </c:pt>
                <c:pt idx="1">
                  <c:v>2997.0115043278138</c:v>
                </c:pt>
                <c:pt idx="2">
                  <c:v>4050.0101209662835</c:v>
                </c:pt>
                <c:pt idx="3">
                  <c:v>3498.1273166935453</c:v>
                </c:pt>
                <c:pt idx="4">
                  <c:v>2192.7645519682669</c:v>
                </c:pt>
                <c:pt idx="5">
                  <c:v>4827.9056653243524</c:v>
                </c:pt>
                <c:pt idx="6">
                  <c:v>2631.885194946236</c:v>
                </c:pt>
                <c:pt idx="7">
                  <c:v>2600.2235357766549</c:v>
                </c:pt>
                <c:pt idx="8">
                  <c:v>3645.839089955904</c:v>
                </c:pt>
                <c:pt idx="9">
                  <c:v>2646.8063959915244</c:v>
                </c:pt>
                <c:pt idx="10">
                  <c:v>1090.1514944666446</c:v>
                </c:pt>
                <c:pt idx="11">
                  <c:v>6232.0697229619918</c:v>
                </c:pt>
                <c:pt idx="12">
                  <c:v>6363.1495461566756</c:v>
                </c:pt>
                <c:pt idx="13">
                  <c:v>5119.2192921960341</c:v>
                </c:pt>
                <c:pt idx="14">
                  <c:v>3795.2734477486165</c:v>
                </c:pt>
                <c:pt idx="15">
                  <c:v>4481.5753288385331</c:v>
                </c:pt>
                <c:pt idx="16">
                  <c:v>3130.7219062115337</c:v>
                </c:pt>
                <c:pt idx="17">
                  <c:v>5533.3356313883778</c:v>
                </c:pt>
                <c:pt idx="18">
                  <c:v>4474.8315713897118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46-4DAD-911C-462552BF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8000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00"/>
      </c:valAx>
      <c:valAx>
        <c:axId val="481311920"/>
        <c:scaling>
          <c:orientation val="minMax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683A87-AA41-41CC-A7F7-1C2EB0F963F7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6ACBE7-7529-4D9C-B242-63645C58F9CF}">
  <sheetPr/>
  <sheetViews>
    <sheetView zoomScale="8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B3D95D-6928-4E3C-837B-4122123AE71C}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F53EE0-27E3-413F-8DF4-A85114464931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7C0539-D955-48E2-AA61-EE3CC7052E20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AC7CD16-F767-40B4-8B29-DE0C1C61F4AB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A9A990-3CFB-4737-8205-91C392CC55C0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7469EE-2A0C-446B-9320-E0154EBAD94B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4CCFDA-E076-426E-BD5D-F00D811B1209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0C0E7C5-5B74-40B3-B457-5958B7647D1A}">
  <sheetPr/>
  <sheetViews>
    <sheetView zoomScale="103" workbookViewId="0" zoomToFit="1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FE01F3C-C7C5-41AB-824D-1D95E863C2C6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A0EE48-A3F3-13BE-64C6-C054E8B057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D70A66-1F44-15EC-8705-74C170DB88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300AD1-FC7F-CCA7-780A-572A86EC0E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D14CCB-18C2-C6BB-04FF-7C86E1C91C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BA6705-E04B-41FA-BC74-333C62D31A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F981A0-020A-A81A-8D43-F483DEC8DD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112FFD-B372-434D-B265-EDB0A91D48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59D2EE-9CE1-407F-8A47-282ACAF5FF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D377A7-7562-46F4-986F-F7C7A3DC7E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20623D-DE29-1F66-A8D2-3210CFE73C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939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0C9D4D-34E5-88C1-BFE9-01265EEE95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srl.noaa.gov/gmd/ccgg/trends/monthly.htm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convertunits.com/from/moles%20CO2/to/grams" TargetMode="External"/><Relationship Id="rId1" Type="http://schemas.openxmlformats.org/officeDocument/2006/relationships/hyperlink" Target="https://gml.noaa.gov/ccgg/about/co2_measurements.html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crippsco2.ucsd.edu/assets/data/atmospheric/stations/in_situ_co2/monthly/monthly_in_situ_co2_mlo.c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386"/>
  <sheetViews>
    <sheetView tabSelected="1" zoomScaleNormal="100" zoomScaleSheetLayoutView="100" workbookViewId="0"/>
  </sheetViews>
  <sheetFormatPr defaultRowHeight="15" x14ac:dyDescent="0.25"/>
  <cols>
    <col min="1" max="1" width="3.7109375" customWidth="1"/>
    <col min="2" max="2" width="22.28515625" customWidth="1"/>
    <col min="3" max="3" width="27" customWidth="1"/>
    <col min="4" max="4" width="13.140625" bestFit="1" customWidth="1"/>
    <col min="5" max="5" width="10.7109375" customWidth="1"/>
    <col min="6" max="6" width="11.28515625" customWidth="1"/>
    <col min="7" max="7" width="12.7109375" customWidth="1"/>
    <col min="8" max="8" width="13.7109375" bestFit="1" customWidth="1"/>
    <col min="9" max="9" width="10.140625" bestFit="1" customWidth="1"/>
    <col min="10" max="10" width="16.85546875" customWidth="1"/>
    <col min="12" max="12" width="11.140625" customWidth="1"/>
    <col min="15" max="15" width="14.5703125" customWidth="1"/>
    <col min="17" max="17" width="2.5703125" customWidth="1"/>
    <col min="18" max="18" width="13.28515625" customWidth="1"/>
    <col min="19" max="19" width="2.42578125" customWidth="1"/>
    <col min="22" max="22" width="10.5703125" customWidth="1"/>
    <col min="23" max="23" width="10.7109375" customWidth="1"/>
    <col min="24" max="24" width="3" customWidth="1"/>
    <col min="26" max="26" width="11.5703125" bestFit="1" customWidth="1"/>
    <col min="28" max="29" width="13.140625" customWidth="1"/>
    <col min="30" max="30" width="3" customWidth="1"/>
    <col min="31" max="31" width="9.28515625" customWidth="1"/>
    <col min="33" max="33" width="14.42578125" customWidth="1"/>
    <col min="34" max="34" width="15.140625" customWidth="1"/>
    <col min="35" max="35" width="3.28515625" customWidth="1"/>
    <col min="38" max="38" width="10.7109375" customWidth="1"/>
    <col min="41" max="41" width="11" customWidth="1"/>
    <col min="42" max="42" width="10.140625" customWidth="1"/>
    <col min="44" max="44" width="12" customWidth="1"/>
    <col min="45" max="45" width="12.140625" customWidth="1"/>
    <col min="46" max="46" width="10.7109375" customWidth="1"/>
    <col min="47" max="47" width="9.5703125" customWidth="1"/>
    <col min="48" max="49" width="12.5703125" customWidth="1"/>
    <col min="50" max="50" width="11.140625" customWidth="1"/>
    <col min="51" max="51" width="11.28515625" customWidth="1"/>
    <col min="52" max="52" width="10.140625" customWidth="1"/>
    <col min="53" max="53" width="11.85546875" customWidth="1"/>
    <col min="54" max="54" width="12.140625" customWidth="1"/>
    <col min="55" max="55" width="9.5703125" bestFit="1" customWidth="1"/>
    <col min="58" max="58" width="10" bestFit="1" customWidth="1"/>
    <col min="60" max="60" width="10.85546875" customWidth="1"/>
    <col min="61" max="61" width="11.140625" customWidth="1"/>
    <col min="65" max="65" width="11" customWidth="1"/>
    <col min="67" max="67" width="9.7109375" customWidth="1"/>
    <col min="69" max="69" width="10.28515625" customWidth="1"/>
    <col min="71" max="71" width="10.85546875" customWidth="1"/>
  </cols>
  <sheetData>
    <row r="1" spans="1:75" x14ac:dyDescent="0.25">
      <c r="A1" s="1" t="s">
        <v>278</v>
      </c>
      <c r="C1" s="189" t="s">
        <v>309</v>
      </c>
      <c r="F1" s="62" t="s">
        <v>308</v>
      </c>
      <c r="G1" t="s">
        <v>322</v>
      </c>
      <c r="AN1" s="4" t="s">
        <v>230</v>
      </c>
    </row>
    <row r="2" spans="1:75" x14ac:dyDescent="0.25">
      <c r="A2" s="152"/>
      <c r="D2" t="s">
        <v>204</v>
      </c>
      <c r="AL2" s="62" t="s">
        <v>268</v>
      </c>
      <c r="AM2" t="s">
        <v>187</v>
      </c>
      <c r="AN2" s="4">
        <v>418</v>
      </c>
      <c r="AO2" t="s">
        <v>239</v>
      </c>
      <c r="AP2">
        <v>4.1800000000000002E-4</v>
      </c>
      <c r="AQ2" t="s">
        <v>265</v>
      </c>
    </row>
    <row r="3" spans="1:75" x14ac:dyDescent="0.25">
      <c r="A3" t="s">
        <v>73</v>
      </c>
      <c r="B3" s="22"/>
      <c r="F3" t="s">
        <v>139</v>
      </c>
      <c r="I3" t="s">
        <v>76</v>
      </c>
      <c r="K3" s="56" t="s">
        <v>138</v>
      </c>
      <c r="L3" s="40"/>
      <c r="M3" s="40"/>
      <c r="N3" s="41"/>
      <c r="P3" t="s">
        <v>183</v>
      </c>
      <c r="U3" s="92" t="s">
        <v>184</v>
      </c>
      <c r="AN3" t="s">
        <v>240</v>
      </c>
      <c r="AS3">
        <v>34.5396</v>
      </c>
      <c r="AU3" s="139" t="s">
        <v>231</v>
      </c>
      <c r="AZ3" s="139" t="s">
        <v>176</v>
      </c>
    </row>
    <row r="4" spans="1:75" x14ac:dyDescent="0.25">
      <c r="A4" t="s">
        <v>216</v>
      </c>
      <c r="K4" s="42" t="s">
        <v>113</v>
      </c>
      <c r="M4" t="s">
        <v>117</v>
      </c>
      <c r="N4" s="43" t="s">
        <v>136</v>
      </c>
      <c r="R4" s="63" t="s">
        <v>97</v>
      </c>
      <c r="AN4">
        <f>0.000418*34.5396</f>
        <v>1.4437552800000001E-2</v>
      </c>
      <c r="AO4" t="s">
        <v>266</v>
      </c>
    </row>
    <row r="5" spans="1:75" x14ac:dyDescent="0.25">
      <c r="A5" t="s">
        <v>293</v>
      </c>
      <c r="K5" s="42" t="s">
        <v>114</v>
      </c>
      <c r="M5" t="s">
        <v>118</v>
      </c>
      <c r="N5" s="43" t="s">
        <v>136</v>
      </c>
      <c r="R5" s="57"/>
      <c r="AN5">
        <v>1.4437999999999999E-2</v>
      </c>
      <c r="AO5" t="s">
        <v>241</v>
      </c>
      <c r="AQ5">
        <v>44.005899999999997</v>
      </c>
      <c r="AR5" t="s">
        <v>242</v>
      </c>
      <c r="AS5">
        <f>+AQ5*AN5</f>
        <v>0.63535718419999998</v>
      </c>
      <c r="AT5" t="s">
        <v>267</v>
      </c>
      <c r="AX5" s="1"/>
      <c r="AY5" s="1"/>
      <c r="AZ5" s="1"/>
      <c r="BA5" s="1"/>
      <c r="BB5" s="1"/>
      <c r="BC5" s="1"/>
    </row>
    <row r="6" spans="1:75" x14ac:dyDescent="0.25">
      <c r="A6" t="s">
        <v>294</v>
      </c>
      <c r="H6" s="1"/>
      <c r="K6" s="42" t="s">
        <v>116</v>
      </c>
      <c r="M6" t="s">
        <v>117</v>
      </c>
      <c r="N6" s="43" t="s">
        <v>135</v>
      </c>
      <c r="P6" s="202"/>
      <c r="R6" s="57"/>
      <c r="AM6" s="62" t="s">
        <v>269</v>
      </c>
      <c r="AN6" s="4">
        <v>0.63500000000000001</v>
      </c>
      <c r="AO6" t="s">
        <v>264</v>
      </c>
      <c r="BF6" s="1"/>
      <c r="BG6" s="1"/>
      <c r="BI6" s="1"/>
      <c r="BJ6" s="1"/>
      <c r="BK6" s="1"/>
      <c r="BL6" s="152" t="s">
        <v>151</v>
      </c>
      <c r="BM6" s="1"/>
      <c r="BN6" s="1"/>
      <c r="BO6" s="1"/>
      <c r="BP6" s="1"/>
      <c r="BR6" s="1"/>
      <c r="BS6" s="1"/>
      <c r="BT6" s="1"/>
      <c r="BU6" s="1"/>
      <c r="BV6" s="1"/>
      <c r="BW6" s="1"/>
    </row>
    <row r="7" spans="1:75" x14ac:dyDescent="0.25">
      <c r="K7" s="44" t="s">
        <v>115</v>
      </c>
      <c r="L7" s="5"/>
      <c r="M7" s="5" t="s">
        <v>118</v>
      </c>
      <c r="N7" s="14" t="s">
        <v>135</v>
      </c>
      <c r="P7" s="202"/>
      <c r="R7" s="57"/>
      <c r="AH7" s="197"/>
      <c r="AK7" s="86" t="s">
        <v>151</v>
      </c>
      <c r="AX7" s="4" t="s">
        <v>192</v>
      </c>
      <c r="AY7" s="27" t="s">
        <v>271</v>
      </c>
      <c r="AZ7" s="86" t="s">
        <v>151</v>
      </c>
      <c r="BD7" s="70" t="s">
        <v>192</v>
      </c>
      <c r="BE7" s="70" t="s">
        <v>271</v>
      </c>
      <c r="BF7" s="83"/>
      <c r="BH7" s="27" t="s">
        <v>233</v>
      </c>
      <c r="BI7" s="70" t="s">
        <v>233</v>
      </c>
      <c r="BQ7" s="4"/>
      <c r="BS7" s="83"/>
    </row>
    <row r="8" spans="1:75" x14ac:dyDescent="0.25">
      <c r="A8" s="24" t="s">
        <v>137</v>
      </c>
      <c r="B8" s="19"/>
      <c r="C8" s="19"/>
      <c r="D8" s="67" t="s">
        <v>165</v>
      </c>
      <c r="E8" s="67"/>
      <c r="F8" s="67"/>
      <c r="G8" s="67"/>
      <c r="K8" s="2"/>
      <c r="M8" s="30"/>
      <c r="N8" s="25"/>
      <c r="O8" s="25"/>
      <c r="P8" s="202"/>
      <c r="R8" s="57"/>
      <c r="T8" s="69"/>
      <c r="Y8" t="s">
        <v>166</v>
      </c>
      <c r="AB8" s="4"/>
      <c r="AC8" s="57"/>
      <c r="AG8" s="4"/>
      <c r="AH8" s="57"/>
      <c r="AK8" s="26" t="s">
        <v>147</v>
      </c>
      <c r="AL8" s="70" t="s">
        <v>147</v>
      </c>
      <c r="AX8" s="4" t="s">
        <v>193</v>
      </c>
      <c r="AY8" s="16" t="s">
        <v>193</v>
      </c>
      <c r="BD8" s="72" t="s">
        <v>193</v>
      </c>
      <c r="BE8" s="72" t="s">
        <v>193</v>
      </c>
      <c r="BF8" s="83"/>
      <c r="BH8" s="16" t="s">
        <v>255</v>
      </c>
      <c r="BI8" s="72" t="s">
        <v>255</v>
      </c>
      <c r="BQ8" s="27" t="s">
        <v>306</v>
      </c>
      <c r="BS8" s="70" t="s">
        <v>306</v>
      </c>
    </row>
    <row r="9" spans="1:75" x14ac:dyDescent="0.25">
      <c r="B9" s="38" t="s">
        <v>97</v>
      </c>
      <c r="E9" s="3"/>
      <c r="F9" s="4"/>
      <c r="G9" s="3"/>
      <c r="P9" s="27" t="s">
        <v>72</v>
      </c>
      <c r="R9" s="70" t="s">
        <v>72</v>
      </c>
      <c r="T9" t="s">
        <v>140</v>
      </c>
      <c r="AA9" s="71" t="s">
        <v>134</v>
      </c>
      <c r="AB9" s="27" t="s">
        <v>300</v>
      </c>
      <c r="AC9" s="200" t="s">
        <v>300</v>
      </c>
      <c r="AF9" s="71" t="s">
        <v>134</v>
      </c>
      <c r="AG9" s="27" t="s">
        <v>314</v>
      </c>
      <c r="AH9" s="70" t="s">
        <v>314</v>
      </c>
      <c r="AK9" s="16" t="s">
        <v>82</v>
      </c>
      <c r="AL9" s="72" t="s">
        <v>82</v>
      </c>
      <c r="AS9" s="176" t="s">
        <v>315</v>
      </c>
      <c r="AT9" s="70" t="s">
        <v>317</v>
      </c>
      <c r="AV9" s="163" t="s">
        <v>270</v>
      </c>
      <c r="AX9" s="4">
        <v>0.83299999999999996</v>
      </c>
      <c r="AY9" s="16" t="s">
        <v>272</v>
      </c>
      <c r="AZ9" s="27" t="s">
        <v>274</v>
      </c>
      <c r="BA9" s="4"/>
      <c r="BB9" s="70" t="s">
        <v>270</v>
      </c>
      <c r="BD9" s="72">
        <v>0.83299999999999996</v>
      </c>
      <c r="BE9" s="72" t="s">
        <v>272</v>
      </c>
      <c r="BF9" s="70" t="s">
        <v>274</v>
      </c>
      <c r="BH9" s="16" t="s">
        <v>282</v>
      </c>
      <c r="BI9" s="72" t="s">
        <v>282</v>
      </c>
      <c r="BK9" s="27" t="s">
        <v>297</v>
      </c>
      <c r="BL9" s="27" t="s">
        <v>299</v>
      </c>
      <c r="BM9" s="26" t="s">
        <v>301</v>
      </c>
      <c r="BO9" s="163" t="s">
        <v>304</v>
      </c>
      <c r="BQ9" s="16" t="s">
        <v>291</v>
      </c>
      <c r="BS9" s="72" t="s">
        <v>291</v>
      </c>
    </row>
    <row r="10" spans="1:75" x14ac:dyDescent="0.25">
      <c r="G10" s="4" t="s">
        <v>0</v>
      </c>
      <c r="K10" s="4" t="s">
        <v>1</v>
      </c>
      <c r="L10" s="4" t="s">
        <v>2</v>
      </c>
      <c r="O10" s="4" t="s">
        <v>72</v>
      </c>
      <c r="P10" s="16" t="s">
        <v>81</v>
      </c>
      <c r="Q10" s="4"/>
      <c r="R10" s="72" t="s">
        <v>81</v>
      </c>
      <c r="V10" s="26" t="s">
        <v>310</v>
      </c>
      <c r="W10" s="87" t="s">
        <v>310</v>
      </c>
      <c r="AA10" s="73" t="s">
        <v>141</v>
      </c>
      <c r="AB10" s="16" t="s">
        <v>141</v>
      </c>
      <c r="AC10" s="201" t="s">
        <v>141</v>
      </c>
      <c r="AF10" s="42" t="s">
        <v>141</v>
      </c>
      <c r="AG10" s="16" t="s">
        <v>141</v>
      </c>
      <c r="AH10" s="72" t="s">
        <v>141</v>
      </c>
      <c r="AK10" s="15" t="s">
        <v>148</v>
      </c>
      <c r="AL10" s="72" t="s">
        <v>148</v>
      </c>
      <c r="AN10" s="27" t="s">
        <v>235</v>
      </c>
      <c r="AO10" s="27" t="s">
        <v>233</v>
      </c>
      <c r="AP10" s="27" t="s">
        <v>233</v>
      </c>
      <c r="AR10" s="176" t="s">
        <v>320</v>
      </c>
      <c r="AS10" s="199" t="s">
        <v>316</v>
      </c>
      <c r="AT10" s="72" t="s">
        <v>318</v>
      </c>
      <c r="AU10" s="83"/>
      <c r="AV10" s="73" t="s">
        <v>275</v>
      </c>
      <c r="AW10" s="163" t="s">
        <v>270</v>
      </c>
      <c r="AY10" s="16" t="s">
        <v>251</v>
      </c>
      <c r="AZ10" s="16">
        <v>1.7030000000000001</v>
      </c>
      <c r="BA10" s="57"/>
      <c r="BB10" s="72" t="s">
        <v>275</v>
      </c>
      <c r="BC10" s="176" t="s">
        <v>270</v>
      </c>
      <c r="BD10" s="74"/>
      <c r="BE10" s="72" t="s">
        <v>251</v>
      </c>
      <c r="BF10" s="72">
        <v>1.7030000000000001</v>
      </c>
      <c r="BH10" s="173" t="s">
        <v>187</v>
      </c>
      <c r="BI10" s="72" t="s">
        <v>187</v>
      </c>
      <c r="BK10" s="16" t="s">
        <v>298</v>
      </c>
      <c r="BL10" s="16" t="s">
        <v>298</v>
      </c>
      <c r="BM10" s="16" t="s">
        <v>300</v>
      </c>
      <c r="BO10" s="16" t="s">
        <v>303</v>
      </c>
      <c r="BP10" s="161" t="s">
        <v>296</v>
      </c>
      <c r="BQ10" s="16" t="s">
        <v>292</v>
      </c>
      <c r="BS10" s="72" t="s">
        <v>292</v>
      </c>
    </row>
    <row r="11" spans="1:75" ht="17.25" x14ac:dyDescent="0.25">
      <c r="A11" s="5"/>
      <c r="B11" s="5"/>
      <c r="C11" t="s">
        <v>3</v>
      </c>
      <c r="D11" t="s">
        <v>4</v>
      </c>
      <c r="E11" t="s">
        <v>5</v>
      </c>
      <c r="F11" s="4" t="s">
        <v>6</v>
      </c>
      <c r="G11" s="6" t="s">
        <v>7</v>
      </c>
      <c r="H11" s="4" t="s">
        <v>98</v>
      </c>
      <c r="I11" s="4" t="s">
        <v>99</v>
      </c>
      <c r="J11" s="4" t="s">
        <v>74</v>
      </c>
      <c r="K11" s="7" t="s">
        <v>163</v>
      </c>
      <c r="L11" s="20" t="s">
        <v>8</v>
      </c>
      <c r="M11" s="4" t="s">
        <v>9</v>
      </c>
      <c r="N11" s="4" t="s">
        <v>10</v>
      </c>
      <c r="O11" s="4" t="s">
        <v>11</v>
      </c>
      <c r="P11" s="13" t="s">
        <v>82</v>
      </c>
      <c r="Q11" s="4"/>
      <c r="R11" s="77" t="s">
        <v>82</v>
      </c>
      <c r="S11" s="4"/>
      <c r="T11" s="10" t="s">
        <v>142</v>
      </c>
      <c r="U11" s="18" t="s">
        <v>10</v>
      </c>
      <c r="V11" s="13" t="s">
        <v>273</v>
      </c>
      <c r="W11" s="77" t="s">
        <v>311</v>
      </c>
      <c r="X11" s="4"/>
      <c r="Y11" s="10" t="s">
        <v>142</v>
      </c>
      <c r="Z11" s="18" t="s">
        <v>10</v>
      </c>
      <c r="AA11" s="76" t="s">
        <v>143</v>
      </c>
      <c r="AB11" s="13" t="s">
        <v>312</v>
      </c>
      <c r="AC11" s="75" t="s">
        <v>312</v>
      </c>
      <c r="AE11" s="9" t="s">
        <v>10</v>
      </c>
      <c r="AF11" s="76" t="s">
        <v>82</v>
      </c>
      <c r="AG11" s="13" t="s">
        <v>313</v>
      </c>
      <c r="AH11" s="77" t="s">
        <v>313</v>
      </c>
      <c r="AJ11" s="32" t="s">
        <v>10</v>
      </c>
      <c r="AK11" s="12" t="s">
        <v>149</v>
      </c>
      <c r="AL11" s="77" t="s">
        <v>149</v>
      </c>
      <c r="AN11" s="13" t="s">
        <v>230</v>
      </c>
      <c r="AO11" s="13" t="s">
        <v>177</v>
      </c>
      <c r="AP11" s="13" t="s">
        <v>234</v>
      </c>
      <c r="AR11" s="177" t="s">
        <v>321</v>
      </c>
      <c r="AS11" s="177" t="s">
        <v>232</v>
      </c>
      <c r="AT11" s="77" t="s">
        <v>319</v>
      </c>
      <c r="AU11" s="57"/>
      <c r="AV11" s="166" t="s">
        <v>149</v>
      </c>
      <c r="AW11" s="13" t="s">
        <v>276</v>
      </c>
      <c r="AX11" s="164" t="s">
        <v>186</v>
      </c>
      <c r="AY11" s="13" t="s">
        <v>82</v>
      </c>
      <c r="AZ11" s="13" t="s">
        <v>273</v>
      </c>
      <c r="BA11" s="57"/>
      <c r="BB11" s="77" t="s">
        <v>149</v>
      </c>
      <c r="BC11" s="177" t="s">
        <v>276</v>
      </c>
      <c r="BD11" s="77" t="s">
        <v>186</v>
      </c>
      <c r="BE11" s="77" t="s">
        <v>82</v>
      </c>
      <c r="BF11" s="77" t="s">
        <v>277</v>
      </c>
      <c r="BH11" s="13">
        <v>418</v>
      </c>
      <c r="BI11" s="77">
        <v>418</v>
      </c>
      <c r="BK11" s="13" t="s">
        <v>250</v>
      </c>
      <c r="BL11" s="13" t="s">
        <v>250</v>
      </c>
      <c r="BM11" s="13" t="s">
        <v>295</v>
      </c>
      <c r="BN11" s="18" t="s">
        <v>302</v>
      </c>
      <c r="BO11" s="13" t="s">
        <v>189</v>
      </c>
      <c r="BP11" s="76" t="s">
        <v>277</v>
      </c>
      <c r="BQ11" s="13" t="s">
        <v>305</v>
      </c>
      <c r="BS11" s="77" t="s">
        <v>305</v>
      </c>
    </row>
    <row r="12" spans="1:75" x14ac:dyDescent="0.25">
      <c r="A12">
        <v>1</v>
      </c>
      <c r="C12" s="9" t="s">
        <v>12</v>
      </c>
      <c r="D12" s="10" t="s">
        <v>13</v>
      </c>
      <c r="E12" s="32" t="s">
        <v>14</v>
      </c>
      <c r="F12" s="33">
        <v>44275</v>
      </c>
      <c r="G12" s="29">
        <v>0.18263888888888891</v>
      </c>
      <c r="H12" s="28">
        <v>-30</v>
      </c>
      <c r="I12" s="28">
        <v>83</v>
      </c>
      <c r="J12" s="28" t="s">
        <v>133</v>
      </c>
      <c r="K12" s="10">
        <v>32</v>
      </c>
      <c r="L12" s="47">
        <f>+((101325*(1-(2.25577*10^-5)*(K12))^5.25588))</f>
        <v>100941.16925190832</v>
      </c>
      <c r="M12" s="10">
        <f t="shared" ref="M12:M31" si="0">+L12/100000</f>
        <v>1.0094116925190832</v>
      </c>
      <c r="N12" s="10" t="s">
        <v>15</v>
      </c>
      <c r="O12" s="10">
        <f>_xll.HumidairTdbRHPsi(H12,I12,M12,N12)</f>
        <v>1.9540119699965814E-4</v>
      </c>
      <c r="P12" s="49">
        <f t="shared" ref="P12:P31" si="1">+O12*1000</f>
        <v>0.19540119699965813</v>
      </c>
      <c r="Q12" s="53"/>
      <c r="R12" s="58">
        <v>0.19540119699965813</v>
      </c>
      <c r="S12" s="4"/>
      <c r="T12" s="10">
        <v>1</v>
      </c>
      <c r="U12" s="10" t="s">
        <v>144</v>
      </c>
      <c r="V12" s="78">
        <f>_xll.HumidairTdbRHPsi(H12, I12,M12,U12)</f>
        <v>-31.778500759184055</v>
      </c>
      <c r="W12" s="80">
        <v>-31.778500759184055</v>
      </c>
      <c r="X12" s="4"/>
      <c r="Y12" s="10">
        <v>1</v>
      </c>
      <c r="Z12" s="10" t="s">
        <v>145</v>
      </c>
      <c r="AA12" s="78">
        <f>_xll.HumidairTdbRHPsi(H12,I12,M12,Z12)</f>
        <v>-29.692820292544262</v>
      </c>
      <c r="AB12" s="78">
        <f>+AA12+37</f>
        <v>7.3071797074557381</v>
      </c>
      <c r="AC12" s="79">
        <v>7.3071797074557381</v>
      </c>
      <c r="AE12" s="10" t="s">
        <v>146</v>
      </c>
      <c r="AF12" s="78">
        <f>_xll.HumidairTdbRHPsi(H12,I12,M12,AE12)</f>
        <v>-30.170442074557172</v>
      </c>
      <c r="AG12" s="78">
        <f>+AF12+37</f>
        <v>6.8295579254428276</v>
      </c>
      <c r="AH12" s="80">
        <v>6.8295579254428276</v>
      </c>
      <c r="AJ12" s="10" t="s">
        <v>150</v>
      </c>
      <c r="AK12" s="84">
        <f>_xll.HumidairTdbRHPsi(H12,I12,M12,AJ12)</f>
        <v>0.69072091480517117</v>
      </c>
      <c r="AL12" s="58">
        <v>0.69072091480517117</v>
      </c>
      <c r="AN12" s="48">
        <f>+$AN$6*($AL$57/AL12)</f>
        <v>0.61501525010314739</v>
      </c>
      <c r="AO12" s="81">
        <f>+R12/AN12</f>
        <v>0.31771764515902068</v>
      </c>
      <c r="AP12" s="81">
        <f>+AO12*(44.0059/18.015)</f>
        <v>0.77610052295883125</v>
      </c>
      <c r="AR12" s="58">
        <v>0.61501525010314739</v>
      </c>
      <c r="AS12" s="80">
        <v>0.31771764515902068</v>
      </c>
      <c r="AT12" s="80">
        <v>0.77610052295883125</v>
      </c>
      <c r="AU12" s="85"/>
      <c r="AV12" s="84">
        <f t="shared" ref="AV12:AV31" si="2">+$AN$57-AN12</f>
        <v>1.9984749896852616E-2</v>
      </c>
      <c r="AW12" s="165">
        <f t="shared" ref="AW12:AW31" si="3">+AV12/1000</f>
        <v>1.9984749896852616E-5</v>
      </c>
      <c r="AX12" s="10">
        <f t="shared" ref="AX12:AX31" si="4">37+H12</f>
        <v>7</v>
      </c>
      <c r="AY12" s="55">
        <f t="shared" ref="AY12:AY31" si="5">+AW12*AX12*$AX$9</f>
        <v>1.165310766485476E-4</v>
      </c>
      <c r="AZ12" s="55">
        <f t="shared" ref="AZ12:AZ31" si="6">+AY12/1.703</f>
        <v>6.8426938724925183E-5</v>
      </c>
      <c r="BA12" s="153"/>
      <c r="BB12" s="58">
        <v>1.9984749896852616E-2</v>
      </c>
      <c r="BC12" s="167">
        <v>1.9984749896852616E-5</v>
      </c>
      <c r="BD12" s="168">
        <v>7</v>
      </c>
      <c r="BE12" s="168">
        <v>1.165310766485476E-4</v>
      </c>
      <c r="BF12" s="169">
        <v>6.8426938724925183E-5</v>
      </c>
      <c r="BH12" s="81">
        <f>418*($AL$57/AL12)</f>
        <v>404.8446843198671</v>
      </c>
      <c r="BI12" s="80">
        <v>404.8446843198671</v>
      </c>
      <c r="BK12" s="81">
        <f>+AB12</f>
        <v>7.3071797074557381</v>
      </c>
      <c r="BL12" s="81">
        <f>+AG12</f>
        <v>6.8295579254428276</v>
      </c>
      <c r="BM12" s="81">
        <f>+BK12-BL12</f>
        <v>0.4776217820129105</v>
      </c>
      <c r="BN12" s="192">
        <f>+BM12/BK12</f>
        <v>6.5363355102048257E-2</v>
      </c>
      <c r="BO12" s="81">
        <f>+H12-$H$57</f>
        <v>7</v>
      </c>
      <c r="BP12" s="49">
        <f>+BN12*BO12</f>
        <v>0.45754348571433778</v>
      </c>
      <c r="BQ12" s="90">
        <f>+BP12/AZ12</f>
        <v>6686.5987904800577</v>
      </c>
      <c r="BS12" s="195">
        <v>6686.5987904800577</v>
      </c>
    </row>
    <row r="13" spans="1:75" x14ac:dyDescent="0.25">
      <c r="A13">
        <v>2</v>
      </c>
      <c r="B13" s="1" t="s">
        <v>16</v>
      </c>
      <c r="C13" s="12" t="s">
        <v>17</v>
      </c>
      <c r="D13" s="13" t="s">
        <v>18</v>
      </c>
      <c r="E13" s="11" t="s">
        <v>19</v>
      </c>
      <c r="F13" s="33">
        <v>44641</v>
      </c>
      <c r="G13" s="29">
        <v>0.72499999999999998</v>
      </c>
      <c r="H13" s="28">
        <v>-29</v>
      </c>
      <c r="I13" s="28">
        <v>69</v>
      </c>
      <c r="J13" s="28" t="s">
        <v>100</v>
      </c>
      <c r="K13" s="10">
        <v>41</v>
      </c>
      <c r="L13" s="47">
        <f t="shared" ref="L13:L31" si="7">+((101325*(1-(2.25577*10^-5)*(K13))^5.25588))</f>
        <v>100833.42925724134</v>
      </c>
      <c r="M13" s="10">
        <f t="shared" si="0"/>
        <v>1.0083342925724135</v>
      </c>
      <c r="N13" s="10" t="s">
        <v>15</v>
      </c>
      <c r="O13" s="10">
        <f>_xll.HumidairTdbRHPsi(H13,I13,M13,N13)</f>
        <v>1.8035648229513523E-4</v>
      </c>
      <c r="P13" s="49">
        <f t="shared" si="1"/>
        <v>0.18035648229513523</v>
      </c>
      <c r="Q13" s="53"/>
      <c r="R13" s="58">
        <v>0.18035648229513523</v>
      </c>
      <c r="S13" s="4"/>
      <c r="T13" s="10">
        <v>2</v>
      </c>
      <c r="U13" s="10" t="s">
        <v>144</v>
      </c>
      <c r="V13" s="78">
        <f>_xll.HumidairTdbRHPsi(H13, I13,M13,U13)</f>
        <v>-32.545045015065426</v>
      </c>
      <c r="W13" s="79">
        <v>-32.545045015065426</v>
      </c>
      <c r="X13" s="4"/>
      <c r="Y13" s="10">
        <v>2</v>
      </c>
      <c r="Z13" s="10" t="s">
        <v>145</v>
      </c>
      <c r="AA13" s="78">
        <f>_xll.HumidairTdbRHPsi(H13,I13,M13,Z13)</f>
        <v>-28.723165372634046</v>
      </c>
      <c r="AB13" s="78">
        <f t="shared" ref="AB13:AB31" si="8">+AA13+37</f>
        <v>8.2768346273659539</v>
      </c>
      <c r="AC13" s="80">
        <v>8.2768346273659539</v>
      </c>
      <c r="AE13" s="10" t="s">
        <v>146</v>
      </c>
      <c r="AF13" s="78">
        <f>_xll.HumidairTdbRHPsi(H13,I13,M13,AE13)</f>
        <v>-29.164350108401496</v>
      </c>
      <c r="AG13" s="81">
        <f t="shared" ref="AG13:AG31" si="9">+AF13+37</f>
        <v>7.8356498915985036</v>
      </c>
      <c r="AH13" s="80">
        <v>7.8356498915985036</v>
      </c>
      <c r="AJ13" s="10" t="s">
        <v>150</v>
      </c>
      <c r="AK13" s="84">
        <f>_xll.HumidairTdbRHPsi(H13,I13,M13,AJ13)</f>
        <v>0.69431777722353405</v>
      </c>
      <c r="AL13" s="58">
        <v>0.69431777722353405</v>
      </c>
      <c r="AN13" s="48">
        <f t="shared" ref="AN13:AN31" si="10">+$AN$6*($AL$57/AL13)</f>
        <v>0.61182920862130319</v>
      </c>
      <c r="AO13" s="81">
        <f t="shared" ref="AO13:AO31" si="11">+R13/AN13</f>
        <v>0.29478239965292075</v>
      </c>
      <c r="AP13" s="81">
        <f t="shared" ref="AP13:AP31" si="12">+AO13*(44.0059/18.015)</f>
        <v>0.72007575913885447</v>
      </c>
      <c r="AR13" s="58">
        <v>0.61182920862130319</v>
      </c>
      <c r="AS13" s="80">
        <v>0.29478239965292075</v>
      </c>
      <c r="AT13" s="80">
        <v>0.72007575913885447</v>
      </c>
      <c r="AU13" s="85"/>
      <c r="AV13" s="49">
        <f t="shared" si="2"/>
        <v>2.317079137869682E-2</v>
      </c>
      <c r="AW13" s="162">
        <f t="shared" si="3"/>
        <v>2.317079137869682E-5</v>
      </c>
      <c r="AX13" s="10">
        <f t="shared" si="4"/>
        <v>8</v>
      </c>
      <c r="AY13" s="55">
        <f t="shared" si="5"/>
        <v>1.5441015374763562E-4</v>
      </c>
      <c r="AZ13" s="55">
        <f t="shared" si="6"/>
        <v>9.0669497209416091E-5</v>
      </c>
      <c r="BA13" s="153"/>
      <c r="BB13" s="58">
        <v>2.317079137869682E-2</v>
      </c>
      <c r="BC13" s="167">
        <v>2.317079137869682E-5</v>
      </c>
      <c r="BD13" s="168">
        <v>8</v>
      </c>
      <c r="BE13" s="170">
        <v>1.5441015374763562E-4</v>
      </c>
      <c r="BF13" s="169">
        <v>9.0669497209416091E-5</v>
      </c>
      <c r="BH13" s="81">
        <f t="shared" ref="BH13:BH31" si="13">418*($AL$57/AL13)</f>
        <v>402.74741606882634</v>
      </c>
      <c r="BI13" s="80">
        <v>402.74741606882634</v>
      </c>
      <c r="BK13" s="81">
        <f t="shared" ref="BK13:BK30" si="14">+AB13</f>
        <v>8.2768346273659539</v>
      </c>
      <c r="BL13" s="81">
        <f t="shared" ref="BL13:BL30" si="15">+AG13</f>
        <v>7.8356498915985036</v>
      </c>
      <c r="BM13" s="81">
        <f t="shared" ref="BM13:BM30" si="16">+BK13-BL13</f>
        <v>0.44118473576745032</v>
      </c>
      <c r="BN13" s="192">
        <f t="shared" ref="BN13:BN30" si="17">+BM13/BK13</f>
        <v>5.3303558139091919E-2</v>
      </c>
      <c r="BO13" s="81">
        <f t="shared" ref="BO13:BO30" si="18">+H13-$H$57</f>
        <v>8</v>
      </c>
      <c r="BP13" s="49">
        <f t="shared" ref="BP13:BP30" si="19">+BN13*BO13</f>
        <v>0.42642846511273536</v>
      </c>
      <c r="BQ13" s="82">
        <f t="shared" ref="BQ13:BQ30" si="20">+BP13/AZ13</f>
        <v>4703.1083025400349</v>
      </c>
      <c r="BS13" s="193">
        <v>4703.1083025400349</v>
      </c>
    </row>
    <row r="14" spans="1:75" x14ac:dyDescent="0.25">
      <c r="A14">
        <v>3</v>
      </c>
      <c r="C14" s="12" t="s">
        <v>20</v>
      </c>
      <c r="D14" s="10" t="s">
        <v>21</v>
      </c>
      <c r="E14" s="11" t="s">
        <v>22</v>
      </c>
      <c r="F14" s="33">
        <v>44275</v>
      </c>
      <c r="G14" s="29">
        <v>0.39930555555555558</v>
      </c>
      <c r="H14" s="28">
        <v>-2</v>
      </c>
      <c r="I14" s="28">
        <v>80</v>
      </c>
      <c r="J14" s="28" t="s">
        <v>85</v>
      </c>
      <c r="K14" s="10">
        <v>15</v>
      </c>
      <c r="L14" s="47">
        <f t="shared" si="7"/>
        <v>101144.93246061618</v>
      </c>
      <c r="M14" s="10">
        <f t="shared" si="0"/>
        <v>1.0114493246061618</v>
      </c>
      <c r="N14" s="10" t="s">
        <v>15</v>
      </c>
      <c r="O14" s="10">
        <f>_xll.HumidairTdbRHPsi(H14,I14,M14,N14)</f>
        <v>2.5677450003507478E-3</v>
      </c>
      <c r="P14" s="49">
        <f t="shared" si="1"/>
        <v>2.5677450003507478</v>
      </c>
      <c r="Q14" s="53"/>
      <c r="R14" s="58">
        <v>2.5677450003507478</v>
      </c>
      <c r="S14" s="4"/>
      <c r="T14" s="10">
        <v>3</v>
      </c>
      <c r="U14" s="10" t="s">
        <v>144</v>
      </c>
      <c r="V14" s="78">
        <f>_xll.HumidairTdbRHPsi(H14, I14,M14,U14)</f>
        <v>-4.6438824761542605</v>
      </c>
      <c r="W14" s="79">
        <v>-4.6438824761542605</v>
      </c>
      <c r="X14" s="4"/>
      <c r="Y14" s="10">
        <v>3</v>
      </c>
      <c r="Z14" s="10" t="s">
        <v>145</v>
      </c>
      <c r="AA14" s="78">
        <f>_xll.HumidairTdbRHPsi(H14,I14,M14,Z14)</f>
        <v>4.3985683947825329</v>
      </c>
      <c r="AB14" s="78">
        <f t="shared" si="8"/>
        <v>41.398568394782529</v>
      </c>
      <c r="AC14" s="80">
        <v>41.398568394782529</v>
      </c>
      <c r="AE14" s="10" t="s">
        <v>146</v>
      </c>
      <c r="AF14" s="78">
        <f>_xll.HumidairTdbRHPsi(H14,I14,M14,AE14)</f>
        <v>-2.0111281510112096</v>
      </c>
      <c r="AG14" s="81">
        <f t="shared" si="9"/>
        <v>34.988871848988794</v>
      </c>
      <c r="AH14" s="80">
        <v>34.988871848988794</v>
      </c>
      <c r="AJ14" s="10" t="s">
        <v>150</v>
      </c>
      <c r="AK14" s="84">
        <f>_xll.HumidairTdbRHPsi(H14,I14,M14,AJ14)</f>
        <v>0.76907007318885023</v>
      </c>
      <c r="AL14" s="58">
        <v>0.76907007318885023</v>
      </c>
      <c r="AN14" s="48">
        <f t="shared" si="10"/>
        <v>0.55236045580213822</v>
      </c>
      <c r="AO14" s="81">
        <f t="shared" si="11"/>
        <v>4.6486763731517797</v>
      </c>
      <c r="AP14" s="81">
        <f t="shared" si="12"/>
        <v>11.355491957217867</v>
      </c>
      <c r="AR14" s="58">
        <v>0.55236045580213822</v>
      </c>
      <c r="AS14" s="80">
        <v>4.6486763731517797</v>
      </c>
      <c r="AT14" s="80">
        <v>11.355491957217867</v>
      </c>
      <c r="AU14" s="85"/>
      <c r="AV14" s="49">
        <f t="shared" si="2"/>
        <v>8.2639544197861792E-2</v>
      </c>
      <c r="AW14" s="162">
        <f t="shared" si="3"/>
        <v>8.2639544197861788E-5</v>
      </c>
      <c r="AX14" s="10">
        <f t="shared" si="4"/>
        <v>35</v>
      </c>
      <c r="AY14" s="55">
        <f t="shared" si="5"/>
        <v>2.4093559110886604E-3</v>
      </c>
      <c r="AZ14" s="55">
        <f t="shared" si="6"/>
        <v>1.4147715273568175E-3</v>
      </c>
      <c r="BA14" s="153"/>
      <c r="BB14" s="58">
        <v>8.2639544197861792E-2</v>
      </c>
      <c r="BC14" s="167">
        <v>8.2639544197861788E-5</v>
      </c>
      <c r="BD14" s="168">
        <v>35</v>
      </c>
      <c r="BE14" s="170">
        <v>2.4093559110886604E-3</v>
      </c>
      <c r="BF14" s="171">
        <v>1.4147715273568175E-3</v>
      </c>
      <c r="BH14" s="81">
        <f t="shared" si="13"/>
        <v>363.60105594534451</v>
      </c>
      <c r="BI14" s="80">
        <v>363.60105594534451</v>
      </c>
      <c r="BK14" s="81">
        <f t="shared" si="14"/>
        <v>41.398568394782529</v>
      </c>
      <c r="BL14" s="81">
        <f t="shared" si="15"/>
        <v>34.988871848988794</v>
      </c>
      <c r="BM14" s="81">
        <f t="shared" si="16"/>
        <v>6.4096965457937358</v>
      </c>
      <c r="BN14" s="192">
        <f t="shared" si="17"/>
        <v>0.15482894202210024</v>
      </c>
      <c r="BO14" s="81">
        <f t="shared" si="18"/>
        <v>35</v>
      </c>
      <c r="BP14" s="49">
        <f t="shared" si="19"/>
        <v>5.4190129707735082</v>
      </c>
      <c r="BQ14" s="82">
        <f t="shared" si="20"/>
        <v>3830.3096054652128</v>
      </c>
      <c r="BS14" s="193">
        <v>3830.3096054652128</v>
      </c>
    </row>
    <row r="15" spans="1:75" x14ac:dyDescent="0.25">
      <c r="A15" s="5">
        <v>4</v>
      </c>
      <c r="B15" s="14"/>
      <c r="C15" s="12" t="s">
        <v>23</v>
      </c>
      <c r="D15" s="10" t="s">
        <v>24</v>
      </c>
      <c r="E15" s="11" t="s">
        <v>25</v>
      </c>
      <c r="F15" s="33">
        <v>44275</v>
      </c>
      <c r="G15" s="29">
        <v>0.10069444444444443</v>
      </c>
      <c r="H15" s="28">
        <v>-30</v>
      </c>
      <c r="I15" s="28">
        <v>75</v>
      </c>
      <c r="J15" s="28" t="s">
        <v>88</v>
      </c>
      <c r="K15" s="10">
        <v>26</v>
      </c>
      <c r="L15" s="47">
        <f t="shared" si="7"/>
        <v>101013.04768769341</v>
      </c>
      <c r="M15" s="10">
        <f t="shared" si="0"/>
        <v>1.0101304768769341</v>
      </c>
      <c r="N15" s="10" t="s">
        <v>15</v>
      </c>
      <c r="O15" s="10">
        <f>_xll.HumidairTdbRHPsi(H15,I15,M15,N15)</f>
        <v>1.7643691038488283E-4</v>
      </c>
      <c r="P15" s="49">
        <f t="shared" si="1"/>
        <v>0.17643691038488282</v>
      </c>
      <c r="Q15" s="53"/>
      <c r="R15" s="58">
        <v>0.17643691038488282</v>
      </c>
      <c r="S15" s="4"/>
      <c r="T15" s="10">
        <v>4</v>
      </c>
      <c r="U15" s="10" t="s">
        <v>144</v>
      </c>
      <c r="V15" s="78">
        <f>_xll.HumidairTdbRHPsi(H15, I15,M15,U15)</f>
        <v>-32.735027114068401</v>
      </c>
      <c r="W15" s="79">
        <v>-32.735027114068401</v>
      </c>
      <c r="X15" s="4"/>
      <c r="Y15" s="10">
        <v>4</v>
      </c>
      <c r="Z15" s="10" t="s">
        <v>145</v>
      </c>
      <c r="AA15" s="78">
        <f>_xll.HumidairTdbRHPsi(H15,I15,M15,Z15)</f>
        <v>-29.739424845274577</v>
      </c>
      <c r="AB15" s="78">
        <f t="shared" si="8"/>
        <v>7.2605751547254229</v>
      </c>
      <c r="AC15" s="80">
        <v>7.2605751547254229</v>
      </c>
      <c r="AE15" s="10" t="s">
        <v>146</v>
      </c>
      <c r="AF15" s="78">
        <f>_xll.HumidairTdbRHPsi(H15,I15,M15,AE15)</f>
        <v>-30.170692585951493</v>
      </c>
      <c r="AG15" s="81">
        <f t="shared" si="9"/>
        <v>6.8293074140485075</v>
      </c>
      <c r="AH15" s="80">
        <v>6.8293074140485075</v>
      </c>
      <c r="AJ15" s="10" t="s">
        <v>150</v>
      </c>
      <c r="AK15" s="84">
        <f>_xll.HumidairTdbRHPsi(H15,I15,M15,AJ15)</f>
        <v>0.69022888511169533</v>
      </c>
      <c r="AL15" s="58">
        <v>0.69022888511169533</v>
      </c>
      <c r="AN15" s="48">
        <f t="shared" si="10"/>
        <v>0.61545366375334154</v>
      </c>
      <c r="AO15" s="81">
        <f t="shared" si="11"/>
        <v>0.2866778130930005</v>
      </c>
      <c r="AP15" s="81">
        <f t="shared" si="12"/>
        <v>0.70027838885313731</v>
      </c>
      <c r="AR15" s="58">
        <v>0.61545366375334154</v>
      </c>
      <c r="AS15" s="80">
        <v>0.2866778130930005</v>
      </c>
      <c r="AT15" s="80">
        <v>0.70027838885313731</v>
      </c>
      <c r="AU15" s="85"/>
      <c r="AV15" s="49">
        <f t="shared" si="2"/>
        <v>1.9546336246658469E-2</v>
      </c>
      <c r="AW15" s="162">
        <f t="shared" si="3"/>
        <v>1.9546336246658469E-5</v>
      </c>
      <c r="AX15" s="10">
        <f t="shared" si="4"/>
        <v>7</v>
      </c>
      <c r="AY15" s="55">
        <f t="shared" si="5"/>
        <v>1.1397468665426551E-4</v>
      </c>
      <c r="AZ15" s="55">
        <f t="shared" si="6"/>
        <v>6.6925828922058435E-5</v>
      </c>
      <c r="BA15" s="153"/>
      <c r="BB15" s="58">
        <v>1.9546336246658469E-2</v>
      </c>
      <c r="BC15" s="167">
        <v>1.9546336246658469E-5</v>
      </c>
      <c r="BD15" s="168">
        <v>7</v>
      </c>
      <c r="BE15" s="170">
        <v>1.1397468665426551E-4</v>
      </c>
      <c r="BF15" s="171">
        <v>6.6925828922058435E-5</v>
      </c>
      <c r="BH15" s="81">
        <f t="shared" si="13"/>
        <v>405.13327787227837</v>
      </c>
      <c r="BI15" s="80">
        <v>405.13327787227837</v>
      </c>
      <c r="BK15" s="81">
        <f t="shared" si="14"/>
        <v>7.2605751547254229</v>
      </c>
      <c r="BL15" s="81">
        <f t="shared" si="15"/>
        <v>6.8293074140485075</v>
      </c>
      <c r="BM15" s="81">
        <f t="shared" si="16"/>
        <v>0.43126774067691542</v>
      </c>
      <c r="BN15" s="192">
        <f t="shared" si="17"/>
        <v>5.9398564368035235E-2</v>
      </c>
      <c r="BO15" s="81">
        <f t="shared" si="18"/>
        <v>7</v>
      </c>
      <c r="BP15" s="49">
        <f t="shared" si="19"/>
        <v>0.41578995057624663</v>
      </c>
      <c r="BQ15" s="82">
        <f t="shared" si="20"/>
        <v>6212.6978070077248</v>
      </c>
      <c r="BS15" s="193">
        <v>6212.6978070077248</v>
      </c>
    </row>
    <row r="16" spans="1:75" x14ac:dyDescent="0.25">
      <c r="A16">
        <v>5</v>
      </c>
      <c r="C16" s="9" t="s">
        <v>26</v>
      </c>
      <c r="D16" s="10" t="s">
        <v>27</v>
      </c>
      <c r="E16" s="11" t="s">
        <v>28</v>
      </c>
      <c r="F16" s="33">
        <v>44275</v>
      </c>
      <c r="G16" s="29">
        <v>0.69097222222222221</v>
      </c>
      <c r="H16" s="28">
        <v>4</v>
      </c>
      <c r="I16" s="28">
        <v>21</v>
      </c>
      <c r="J16" s="28" t="s">
        <v>90</v>
      </c>
      <c r="K16" s="10">
        <v>356</v>
      </c>
      <c r="L16" s="47">
        <f t="shared" si="7"/>
        <v>97120.766933102874</v>
      </c>
      <c r="M16" s="10">
        <f t="shared" si="0"/>
        <v>0.97120766933102876</v>
      </c>
      <c r="N16" s="10" t="s">
        <v>15</v>
      </c>
      <c r="O16" s="10">
        <f>_xll.HumidairTdbRHPsi(H16,I16,M16,N16)</f>
        <v>1.1001213416668974E-3</v>
      </c>
      <c r="P16" s="49">
        <f t="shared" si="1"/>
        <v>1.1001213416668973</v>
      </c>
      <c r="Q16" s="53"/>
      <c r="R16" s="58">
        <v>1.1001213416668973</v>
      </c>
      <c r="S16" s="4"/>
      <c r="T16" s="10">
        <v>5</v>
      </c>
      <c r="U16" s="10" t="s">
        <v>144</v>
      </c>
      <c r="V16" s="78">
        <f>_xll.HumidairTdbRHPsi(H16, I16,M16,U16)</f>
        <v>-14.645847596420992</v>
      </c>
      <c r="W16" s="79">
        <v>-14.645847596420992</v>
      </c>
      <c r="X16" s="4"/>
      <c r="Y16" s="10">
        <v>5</v>
      </c>
      <c r="Z16" s="10" t="s">
        <v>145</v>
      </c>
      <c r="AA16" s="78">
        <f>_xll.HumidairTdbRHPsi(H16,I16,M16,Z16)</f>
        <v>6.7934776570170099</v>
      </c>
      <c r="AB16" s="78">
        <f t="shared" si="8"/>
        <v>43.793477657017007</v>
      </c>
      <c r="AC16" s="80">
        <v>43.793477657017007</v>
      </c>
      <c r="AE16" s="10" t="s">
        <v>146</v>
      </c>
      <c r="AF16" s="78">
        <f>_xll.HumidairTdbRHPsi(H16,I16,M16,AE16)</f>
        <v>4.0347589486234963</v>
      </c>
      <c r="AG16" s="81">
        <f t="shared" si="9"/>
        <v>41.034758948623498</v>
      </c>
      <c r="AH16" s="80">
        <v>41.034758948623498</v>
      </c>
      <c r="AJ16" s="10" t="s">
        <v>150</v>
      </c>
      <c r="AK16" s="84">
        <f>_xll.HumidairTdbRHPsi(H16,I16,M16,AJ16)</f>
        <v>0.81874001121559792</v>
      </c>
      <c r="AL16" s="58">
        <v>0.81874001121559792</v>
      </c>
      <c r="AN16" s="48">
        <f t="shared" si="10"/>
        <v>0.51885078333922297</v>
      </c>
      <c r="AO16" s="81">
        <f t="shared" si="11"/>
        <v>2.1203039043069953</v>
      </c>
      <c r="AP16" s="81">
        <f t="shared" si="12"/>
        <v>5.179343967945778</v>
      </c>
      <c r="AR16" s="58">
        <v>0.51885078333922297</v>
      </c>
      <c r="AS16" s="80">
        <v>2.1203039043069953</v>
      </c>
      <c r="AT16" s="80">
        <v>5.179343967945778</v>
      </c>
      <c r="AU16" s="85"/>
      <c r="AV16" s="49">
        <f t="shared" si="2"/>
        <v>0.11614921666077704</v>
      </c>
      <c r="AW16" s="162">
        <f t="shared" si="3"/>
        <v>1.1614921666077705E-4</v>
      </c>
      <c r="AX16" s="10">
        <f t="shared" si="4"/>
        <v>41</v>
      </c>
      <c r="AY16" s="55">
        <f t="shared" si="5"/>
        <v>3.9668441966155179E-3</v>
      </c>
      <c r="AZ16" s="55">
        <f t="shared" si="6"/>
        <v>2.3293271853291357E-3</v>
      </c>
      <c r="BA16" s="153"/>
      <c r="BB16" s="58">
        <v>0.11614921666077704</v>
      </c>
      <c r="BC16" s="167">
        <v>1.1614921666077705E-4</v>
      </c>
      <c r="BD16" s="168">
        <v>41</v>
      </c>
      <c r="BE16" s="170">
        <v>3.9668441966155179E-3</v>
      </c>
      <c r="BF16" s="171">
        <v>2.3293271853291357E-3</v>
      </c>
      <c r="BH16" s="81">
        <f t="shared" si="13"/>
        <v>341.54272037133097</v>
      </c>
      <c r="BI16" s="80">
        <v>341.54272037133097</v>
      </c>
      <c r="BK16" s="81">
        <f t="shared" si="14"/>
        <v>43.793477657017007</v>
      </c>
      <c r="BL16" s="81">
        <f t="shared" si="15"/>
        <v>41.034758948623498</v>
      </c>
      <c r="BM16" s="81">
        <f t="shared" si="16"/>
        <v>2.7587187083935092</v>
      </c>
      <c r="BN16" s="192">
        <f t="shared" si="17"/>
        <v>6.2993825929955144E-2</v>
      </c>
      <c r="BO16" s="81">
        <f t="shared" si="18"/>
        <v>41</v>
      </c>
      <c r="BP16" s="49">
        <f t="shared" si="19"/>
        <v>2.5827468631281607</v>
      </c>
      <c r="BQ16" s="82">
        <f t="shared" si="20"/>
        <v>1108.795226104407</v>
      </c>
      <c r="BS16" s="193">
        <v>1108.795226104407</v>
      </c>
    </row>
    <row r="17" spans="1:71" x14ac:dyDescent="0.25">
      <c r="A17">
        <v>6</v>
      </c>
      <c r="C17" s="9" t="s">
        <v>29</v>
      </c>
      <c r="D17" s="10" t="s">
        <v>30</v>
      </c>
      <c r="E17" s="11" t="s">
        <v>31</v>
      </c>
      <c r="F17" s="33">
        <v>44275</v>
      </c>
      <c r="G17" s="34">
        <v>6.458333333333334E-2</v>
      </c>
      <c r="H17" s="28">
        <v>7</v>
      </c>
      <c r="I17" s="28">
        <v>77</v>
      </c>
      <c r="J17" s="28" t="s">
        <v>85</v>
      </c>
      <c r="K17" s="10">
        <v>2</v>
      </c>
      <c r="L17" s="47">
        <f t="shared" si="7"/>
        <v>101300.97600813</v>
      </c>
      <c r="M17" s="10">
        <f t="shared" si="0"/>
        <v>1.0130097600812999</v>
      </c>
      <c r="N17" s="10" t="s">
        <v>15</v>
      </c>
      <c r="O17" s="10">
        <f>_xll.HumidairTdbRHPsi(H17,I17,M17,N17)</f>
        <v>4.7922548374639577E-3</v>
      </c>
      <c r="P17" s="49">
        <f t="shared" si="1"/>
        <v>4.7922548374639575</v>
      </c>
      <c r="Q17" s="53"/>
      <c r="R17" s="58">
        <v>4.7922548374639575</v>
      </c>
      <c r="S17" s="4"/>
      <c r="T17" s="10">
        <v>6</v>
      </c>
      <c r="U17" s="10" t="s">
        <v>144</v>
      </c>
      <c r="V17" s="78">
        <f>_xll.HumidairTdbRHPsi(H17, I17,M17,U17)</f>
        <v>3.2488504795703079</v>
      </c>
      <c r="W17" s="79">
        <v>3.2488504795703079</v>
      </c>
      <c r="X17" s="4"/>
      <c r="Y17" s="10">
        <v>6</v>
      </c>
      <c r="Z17" s="10" t="s">
        <v>145</v>
      </c>
      <c r="AA17" s="78">
        <f>_xll.HumidairTdbRHPsi(H17,I17,M17,Z17)</f>
        <v>19.083591926996558</v>
      </c>
      <c r="AB17" s="78">
        <f t="shared" si="8"/>
        <v>56.083591926996561</v>
      </c>
      <c r="AC17" s="80">
        <v>56.083591926996561</v>
      </c>
      <c r="AE17" s="10" t="s">
        <v>146</v>
      </c>
      <c r="AF17" s="78">
        <f>_xll.HumidairTdbRHPsi(H17,I17,M17,AE17)</f>
        <v>7.0412819174628689</v>
      </c>
      <c r="AG17" s="81">
        <f t="shared" si="9"/>
        <v>44.041281917462868</v>
      </c>
      <c r="AH17" s="80">
        <v>44.041281917462868</v>
      </c>
      <c r="AJ17" s="10" t="s">
        <v>150</v>
      </c>
      <c r="AK17" s="84">
        <f>_xll.HumidairTdbRHPsi(H17,I17,M17,AJ17)</f>
        <v>0.79346262206271179</v>
      </c>
      <c r="AL17" s="58">
        <v>0.79346262206271179</v>
      </c>
      <c r="AN17" s="48">
        <f t="shared" si="10"/>
        <v>0.53537984570217412</v>
      </c>
      <c r="AO17" s="81">
        <f t="shared" si="11"/>
        <v>8.9511304467927921</v>
      </c>
      <c r="AP17" s="81">
        <f t="shared" si="12"/>
        <v>21.865254028782619</v>
      </c>
      <c r="AR17" s="58">
        <v>0.53537984570217412</v>
      </c>
      <c r="AS17" s="80">
        <v>8.9511304467927921</v>
      </c>
      <c r="AT17" s="80">
        <v>21.865254028782619</v>
      </c>
      <c r="AU17" s="85"/>
      <c r="AV17" s="49">
        <f t="shared" si="2"/>
        <v>9.9620154297825891E-2</v>
      </c>
      <c r="AW17" s="162">
        <f t="shared" si="3"/>
        <v>9.9620154297825898E-5</v>
      </c>
      <c r="AX17" s="10">
        <f t="shared" si="4"/>
        <v>44</v>
      </c>
      <c r="AY17" s="55">
        <f t="shared" si="5"/>
        <v>3.6512778953239145E-3</v>
      </c>
      <c r="AZ17" s="55">
        <f t="shared" si="6"/>
        <v>2.144026949691083E-3</v>
      </c>
      <c r="BA17" s="153"/>
      <c r="BB17" s="58">
        <v>9.9620154297825891E-2</v>
      </c>
      <c r="BC17" s="167">
        <v>9.9620154297825898E-5</v>
      </c>
      <c r="BD17" s="168">
        <v>44</v>
      </c>
      <c r="BE17" s="170">
        <v>3.6512778953239145E-3</v>
      </c>
      <c r="BF17" s="171">
        <v>2.144026949691083E-3</v>
      </c>
      <c r="BH17" s="81">
        <f t="shared" si="13"/>
        <v>352.42326850946262</v>
      </c>
      <c r="BI17" s="80">
        <v>352.42326850946262</v>
      </c>
      <c r="BK17" s="81">
        <f t="shared" si="14"/>
        <v>56.083591926996561</v>
      </c>
      <c r="BL17" s="81">
        <f t="shared" si="15"/>
        <v>44.041281917462868</v>
      </c>
      <c r="BM17" s="81">
        <f t="shared" si="16"/>
        <v>12.042310009533693</v>
      </c>
      <c r="BN17" s="192">
        <f t="shared" si="17"/>
        <v>0.21472073374346359</v>
      </c>
      <c r="BO17" s="81">
        <f t="shared" si="18"/>
        <v>44</v>
      </c>
      <c r="BP17" s="49">
        <f t="shared" si="19"/>
        <v>9.4477122847123987</v>
      </c>
      <c r="BQ17" s="82">
        <f t="shared" si="20"/>
        <v>4406.5268331042435</v>
      </c>
      <c r="BS17" s="193">
        <v>4406.5268331042435</v>
      </c>
    </row>
    <row r="18" spans="1:71" x14ac:dyDescent="0.25">
      <c r="A18">
        <v>7</v>
      </c>
      <c r="B18" s="1" t="s">
        <v>32</v>
      </c>
      <c r="C18" s="9" t="s">
        <v>33</v>
      </c>
      <c r="D18" s="10" t="s">
        <v>34</v>
      </c>
      <c r="E18" s="11" t="s">
        <v>35</v>
      </c>
      <c r="F18" s="33">
        <v>44275</v>
      </c>
      <c r="G18" s="29">
        <v>0.3923611111111111</v>
      </c>
      <c r="H18" s="28">
        <v>5</v>
      </c>
      <c r="I18" s="28">
        <v>67</v>
      </c>
      <c r="J18" s="28" t="s">
        <v>90</v>
      </c>
      <c r="K18" s="10">
        <v>126</v>
      </c>
      <c r="L18" s="47">
        <f t="shared" si="7"/>
        <v>99820.46987859541</v>
      </c>
      <c r="M18" s="10">
        <f t="shared" si="0"/>
        <v>0.99820469878595408</v>
      </c>
      <c r="N18" s="10" t="s">
        <v>15</v>
      </c>
      <c r="O18" s="10">
        <f>_xll.HumidairTdbRHPsi(H18,I18,M18,N18)</f>
        <v>3.6781735582158948E-3</v>
      </c>
      <c r="P18" s="49">
        <f t="shared" si="1"/>
        <v>3.678173558215895</v>
      </c>
      <c r="Q18" s="53"/>
      <c r="R18" s="58">
        <v>3.678173558215895</v>
      </c>
      <c r="S18" s="4"/>
      <c r="T18" s="10">
        <v>7</v>
      </c>
      <c r="U18" s="10" t="s">
        <v>144</v>
      </c>
      <c r="V18" s="78">
        <f>_xll.HumidairTdbRHPsi(H18, I18,M18,U18)</f>
        <v>-0.54027929486574067</v>
      </c>
      <c r="W18" s="79">
        <v>-0.54027929486574067</v>
      </c>
      <c r="X18" s="4"/>
      <c r="Y18" s="10">
        <v>7</v>
      </c>
      <c r="Z18" s="10" t="s">
        <v>145</v>
      </c>
      <c r="AA18" s="78">
        <f>_xll.HumidairTdbRHPsi(H18,I18,M18,Z18)</f>
        <v>14.262804596870875</v>
      </c>
      <c r="AB18" s="78">
        <f t="shared" si="8"/>
        <v>51.262804596870879</v>
      </c>
      <c r="AC18" s="80">
        <v>51.262804596870879</v>
      </c>
      <c r="AE18" s="10" t="s">
        <v>146</v>
      </c>
      <c r="AF18" s="78">
        <f>_xll.HumidairTdbRHPsi(H18,I18,M18,AE18)</f>
        <v>5.0333707187249237</v>
      </c>
      <c r="AG18" s="81">
        <f t="shared" si="9"/>
        <v>42.033370718724925</v>
      </c>
      <c r="AH18" s="80">
        <v>42.033370718724925</v>
      </c>
      <c r="AJ18" s="10" t="s">
        <v>150</v>
      </c>
      <c r="AK18" s="84">
        <f>_xll.HumidairTdbRHPsi(H18,I18,M18,AJ18)</f>
        <v>0.79946930329086674</v>
      </c>
      <c r="AL18" s="58">
        <v>0.79946930329086674</v>
      </c>
      <c r="AN18" s="48">
        <f t="shared" si="10"/>
        <v>0.53135735721403043</v>
      </c>
      <c r="AO18" s="81">
        <f t="shared" si="11"/>
        <v>6.922221944005809</v>
      </c>
      <c r="AP18" s="81">
        <f t="shared" si="12"/>
        <v>16.909164953967537</v>
      </c>
      <c r="AR18" s="58">
        <v>0.53135735721403043</v>
      </c>
      <c r="AS18" s="80">
        <v>6.922221944005809</v>
      </c>
      <c r="AT18" s="80">
        <v>16.909164953967537</v>
      </c>
      <c r="AU18" s="85"/>
      <c r="AV18" s="49">
        <f t="shared" si="2"/>
        <v>0.10364264278596957</v>
      </c>
      <c r="AW18" s="162">
        <f t="shared" si="3"/>
        <v>1.0364264278596957E-4</v>
      </c>
      <c r="AX18" s="10">
        <f t="shared" si="4"/>
        <v>42</v>
      </c>
      <c r="AY18" s="55">
        <f t="shared" si="5"/>
        <v>3.6260415005099317E-3</v>
      </c>
      <c r="AZ18" s="55">
        <f t="shared" si="6"/>
        <v>2.1292081623663721E-3</v>
      </c>
      <c r="BA18" s="153"/>
      <c r="BB18" s="58">
        <v>0.10364264278596957</v>
      </c>
      <c r="BC18" s="167">
        <v>1.0364264278596957E-4</v>
      </c>
      <c r="BD18" s="168">
        <v>42</v>
      </c>
      <c r="BE18" s="170">
        <v>3.6260415005099317E-3</v>
      </c>
      <c r="BF18" s="171">
        <v>2.1292081623663721E-3</v>
      </c>
      <c r="BH18" s="81">
        <f t="shared" si="13"/>
        <v>349.77539419758222</v>
      </c>
      <c r="BI18" s="80">
        <v>349.77539419758222</v>
      </c>
      <c r="BK18" s="81">
        <f t="shared" si="14"/>
        <v>51.262804596870879</v>
      </c>
      <c r="BL18" s="81">
        <f t="shared" si="15"/>
        <v>42.033370718724925</v>
      </c>
      <c r="BM18" s="81">
        <f t="shared" si="16"/>
        <v>9.2294338781459544</v>
      </c>
      <c r="BN18" s="192">
        <f t="shared" si="17"/>
        <v>0.18004153207624785</v>
      </c>
      <c r="BO18" s="81">
        <f t="shared" si="18"/>
        <v>42</v>
      </c>
      <c r="BP18" s="49">
        <f t="shared" si="19"/>
        <v>7.56174434720241</v>
      </c>
      <c r="BQ18" s="82">
        <f t="shared" si="20"/>
        <v>3551.4349798464013</v>
      </c>
      <c r="BS18" s="193">
        <v>3551.4349798464013</v>
      </c>
    </row>
    <row r="19" spans="1:71" x14ac:dyDescent="0.25">
      <c r="A19">
        <v>8</v>
      </c>
      <c r="C19" s="9" t="s">
        <v>36</v>
      </c>
      <c r="D19" s="10" t="s">
        <v>37</v>
      </c>
      <c r="E19" s="11" t="s">
        <v>38</v>
      </c>
      <c r="F19" s="33">
        <v>44275</v>
      </c>
      <c r="G19" s="29">
        <v>0.68472222222222223</v>
      </c>
      <c r="H19" s="28">
        <v>2</v>
      </c>
      <c r="I19" s="28">
        <v>79</v>
      </c>
      <c r="J19" s="28" t="s">
        <v>101</v>
      </c>
      <c r="K19" s="10">
        <v>143</v>
      </c>
      <c r="L19" s="47">
        <f t="shared" si="7"/>
        <v>99618.87034335341</v>
      </c>
      <c r="M19" s="10">
        <f t="shared" si="0"/>
        <v>0.99618870343353405</v>
      </c>
      <c r="N19" s="10" t="s">
        <v>15</v>
      </c>
      <c r="O19" s="10">
        <f>_xll.HumidairTdbRHPsi(H19,I19,M19,N19)</f>
        <v>3.515340139481132E-3</v>
      </c>
      <c r="P19" s="49">
        <f t="shared" si="1"/>
        <v>3.5153401394811321</v>
      </c>
      <c r="Q19" s="53"/>
      <c r="R19" s="58">
        <v>3.5153401394811321</v>
      </c>
      <c r="S19" s="4"/>
      <c r="T19" s="10">
        <v>8</v>
      </c>
      <c r="U19" s="10" t="s">
        <v>144</v>
      </c>
      <c r="V19" s="78">
        <f>_xll.HumidairTdbRHPsi(H19, I19,M19,U19)</f>
        <v>-1.1080019412947308</v>
      </c>
      <c r="W19" s="79">
        <v>-1.1080019412947308</v>
      </c>
      <c r="X19" s="4"/>
      <c r="Y19" s="10">
        <v>8</v>
      </c>
      <c r="Z19" s="10" t="s">
        <v>145</v>
      </c>
      <c r="AA19" s="78">
        <f>_xll.HumidairTdbRHPsi(H19,I19,M19,Z19)</f>
        <v>10.81750479940065</v>
      </c>
      <c r="AB19" s="78">
        <f t="shared" si="8"/>
        <v>47.817504799400652</v>
      </c>
      <c r="AC19" s="80">
        <v>47.817504799400652</v>
      </c>
      <c r="AE19" s="10" t="s">
        <v>146</v>
      </c>
      <c r="AF19" s="78">
        <f>_xll.HumidairTdbRHPsi(H19,I19,M19,AE19)</f>
        <v>2.0163502660629145</v>
      </c>
      <c r="AG19" s="81">
        <f t="shared" si="9"/>
        <v>39.016350266062915</v>
      </c>
      <c r="AH19" s="80">
        <v>39.016350266062915</v>
      </c>
      <c r="AJ19" s="10" t="s">
        <v>150</v>
      </c>
      <c r="AK19" s="84">
        <f>_xll.HumidairTdbRHPsi(H19,I19,M19,AJ19)</f>
        <v>0.79241872638858468</v>
      </c>
      <c r="AL19" s="58">
        <v>0.79241872638858468</v>
      </c>
      <c r="AN19" s="48">
        <f t="shared" si="10"/>
        <v>0.53608513027752791</v>
      </c>
      <c r="AO19" s="81">
        <f t="shared" si="11"/>
        <v>6.5574289248822524</v>
      </c>
      <c r="AP19" s="81">
        <f t="shared" si="12"/>
        <v>16.018071691672265</v>
      </c>
      <c r="AR19" s="58">
        <v>0.53608513027752791</v>
      </c>
      <c r="AS19" s="80">
        <v>6.5574289248822524</v>
      </c>
      <c r="AT19" s="80">
        <v>16.018071691672265</v>
      </c>
      <c r="AU19" s="85"/>
      <c r="AV19" s="49">
        <f t="shared" si="2"/>
        <v>9.8914869722472099E-2</v>
      </c>
      <c r="AW19" s="162">
        <f t="shared" si="3"/>
        <v>9.8914869722472096E-5</v>
      </c>
      <c r="AX19" s="10">
        <f t="shared" si="4"/>
        <v>39</v>
      </c>
      <c r="AY19" s="55">
        <f t="shared" si="5"/>
        <v>3.2134473726739511E-3</v>
      </c>
      <c r="AZ19" s="55">
        <f t="shared" si="6"/>
        <v>1.8869332781408989E-3</v>
      </c>
      <c r="BA19" s="153"/>
      <c r="BB19" s="58">
        <v>9.8914869722472099E-2</v>
      </c>
      <c r="BC19" s="167">
        <v>9.8914869722472096E-5</v>
      </c>
      <c r="BD19" s="168">
        <v>39</v>
      </c>
      <c r="BE19" s="170">
        <v>3.2134473726739511E-3</v>
      </c>
      <c r="BF19" s="171">
        <v>1.8869332781408989E-3</v>
      </c>
      <c r="BH19" s="81">
        <f t="shared" si="13"/>
        <v>352.88753457638842</v>
      </c>
      <c r="BI19" s="80">
        <v>352.88753457638842</v>
      </c>
      <c r="BK19" s="81">
        <f t="shared" si="14"/>
        <v>47.817504799400652</v>
      </c>
      <c r="BL19" s="81">
        <f t="shared" si="15"/>
        <v>39.016350266062915</v>
      </c>
      <c r="BM19" s="81">
        <f t="shared" si="16"/>
        <v>8.801154533337737</v>
      </c>
      <c r="BN19" s="192">
        <f t="shared" si="17"/>
        <v>0.18405716840013892</v>
      </c>
      <c r="BO19" s="81">
        <f t="shared" si="18"/>
        <v>39</v>
      </c>
      <c r="BP19" s="49">
        <f t="shared" si="19"/>
        <v>7.1782295676054177</v>
      </c>
      <c r="BQ19" s="82">
        <f t="shared" si="20"/>
        <v>3804.1777368396242</v>
      </c>
      <c r="BS19" s="193">
        <v>3804.1777368396242</v>
      </c>
    </row>
    <row r="20" spans="1:71" x14ac:dyDescent="0.25">
      <c r="A20">
        <v>9</v>
      </c>
      <c r="C20" s="68" t="s">
        <v>39</v>
      </c>
      <c r="D20" s="10" t="s">
        <v>40</v>
      </c>
      <c r="E20" s="11" t="s">
        <v>41</v>
      </c>
      <c r="F20" s="33">
        <v>44641</v>
      </c>
      <c r="G20" s="29">
        <v>0.19166666666666665</v>
      </c>
      <c r="H20" s="28">
        <v>-2</v>
      </c>
      <c r="I20" s="28">
        <v>66</v>
      </c>
      <c r="J20" s="28" t="s">
        <v>88</v>
      </c>
      <c r="K20" s="10">
        <v>62</v>
      </c>
      <c r="L20" s="47">
        <f t="shared" si="7"/>
        <v>100582.39802554256</v>
      </c>
      <c r="M20" s="10">
        <f t="shared" si="0"/>
        <v>1.0058239802554256</v>
      </c>
      <c r="N20" s="10" t="s">
        <v>15</v>
      </c>
      <c r="O20" s="10">
        <f>_xll.HumidairTdbRHPsi(H20,I20,M20,N20)</f>
        <v>2.1286970301942474E-3</v>
      </c>
      <c r="P20" s="49">
        <f t="shared" si="1"/>
        <v>2.1286970301942474</v>
      </c>
      <c r="Q20" s="53"/>
      <c r="R20" s="58">
        <v>2.1286970301942474</v>
      </c>
      <c r="S20" s="4"/>
      <c r="T20" s="10">
        <v>9</v>
      </c>
      <c r="U20" s="10" t="s">
        <v>144</v>
      </c>
      <c r="V20" s="78">
        <f>_xll.HumidairTdbRHPsi(H20, I20,M20,U20)</f>
        <v>-6.8818779605232407</v>
      </c>
      <c r="W20" s="79">
        <v>-6.8818779605232407</v>
      </c>
      <c r="X20" s="4"/>
      <c r="Y20" s="10">
        <v>9</v>
      </c>
      <c r="Z20" s="10" t="s">
        <v>145</v>
      </c>
      <c r="AA20" s="78">
        <f>_xll.HumidairTdbRHPsi(H20,I20,M20,Z20)</f>
        <v>3.3043045544540051</v>
      </c>
      <c r="AB20" s="78">
        <f t="shared" si="8"/>
        <v>40.304304554454006</v>
      </c>
      <c r="AC20" s="80">
        <v>40.304304554454006</v>
      </c>
      <c r="AE20" s="10" t="s">
        <v>146</v>
      </c>
      <c r="AF20" s="78">
        <f>_xll.HumidairTdbRHPsi(H20,I20,M20,AE20)</f>
        <v>-2.0095455017140385</v>
      </c>
      <c r="AG20" s="81">
        <f t="shared" si="9"/>
        <v>34.990454498285963</v>
      </c>
      <c r="AH20" s="80">
        <v>34.990454498285963</v>
      </c>
      <c r="AJ20" s="10" t="s">
        <v>150</v>
      </c>
      <c r="AK20" s="84">
        <f>_xll.HumidairTdbRHPsi(H20,I20,M20,AJ20)</f>
        <v>0.77337392116835857</v>
      </c>
      <c r="AL20" s="58">
        <v>0.77337392116835857</v>
      </c>
      <c r="AN20" s="48">
        <f t="shared" si="10"/>
        <v>0.54928655407543803</v>
      </c>
      <c r="AO20" s="81">
        <f t="shared" si="11"/>
        <v>3.8753852873338239</v>
      </c>
      <c r="AP20" s="81">
        <f t="shared" si="12"/>
        <v>9.4665455129549532</v>
      </c>
      <c r="AR20" s="58">
        <v>0.54928655407543803</v>
      </c>
      <c r="AS20" s="80">
        <v>3.8753852873338239</v>
      </c>
      <c r="AT20" s="80">
        <v>9.4665455129549532</v>
      </c>
      <c r="AU20" s="85"/>
      <c r="AV20" s="49">
        <f t="shared" si="2"/>
        <v>8.5713445924561982E-2</v>
      </c>
      <c r="AW20" s="162">
        <f t="shared" si="3"/>
        <v>8.5713445924561976E-5</v>
      </c>
      <c r="AX20" s="10">
        <f t="shared" si="4"/>
        <v>35</v>
      </c>
      <c r="AY20" s="55">
        <f t="shared" si="5"/>
        <v>2.4989755159306043E-3</v>
      </c>
      <c r="AZ20" s="55">
        <f t="shared" si="6"/>
        <v>1.4673960751207305E-3</v>
      </c>
      <c r="BA20" s="153"/>
      <c r="BB20" s="58">
        <v>8.5713445924561982E-2</v>
      </c>
      <c r="BC20" s="167">
        <v>8.5713445924561976E-5</v>
      </c>
      <c r="BD20" s="168">
        <v>35</v>
      </c>
      <c r="BE20" s="170">
        <v>2.4989755159306043E-3</v>
      </c>
      <c r="BF20" s="171">
        <v>1.4673960751207305E-3</v>
      </c>
      <c r="BH20" s="81">
        <f t="shared" si="13"/>
        <v>361.57760567485525</v>
      </c>
      <c r="BI20" s="80">
        <v>361.57760567485525</v>
      </c>
      <c r="BK20" s="81">
        <f t="shared" si="14"/>
        <v>40.304304554454006</v>
      </c>
      <c r="BL20" s="81">
        <f t="shared" si="15"/>
        <v>34.990454498285963</v>
      </c>
      <c r="BM20" s="81">
        <f t="shared" si="16"/>
        <v>5.3138500561680431</v>
      </c>
      <c r="BN20" s="192">
        <f t="shared" si="17"/>
        <v>0.13184323895202435</v>
      </c>
      <c r="BO20" s="81">
        <f t="shared" si="18"/>
        <v>35</v>
      </c>
      <c r="BP20" s="49">
        <f t="shared" si="19"/>
        <v>4.6145133633208522</v>
      </c>
      <c r="BQ20" s="82">
        <f t="shared" si="20"/>
        <v>3144.6951791398183</v>
      </c>
      <c r="BS20" s="193">
        <v>3144.6951791398183</v>
      </c>
    </row>
    <row r="21" spans="1:71" x14ac:dyDescent="0.25">
      <c r="A21" s="5">
        <v>10</v>
      </c>
      <c r="B21" s="14"/>
      <c r="C21" s="12" t="s">
        <v>42</v>
      </c>
      <c r="D21" s="13" t="s">
        <v>43</v>
      </c>
      <c r="E21" s="8" t="s">
        <v>44</v>
      </c>
      <c r="F21" s="33">
        <v>44275</v>
      </c>
      <c r="G21" s="29">
        <v>0.14791666666666667</v>
      </c>
      <c r="H21" s="28">
        <v>1</v>
      </c>
      <c r="I21" s="28">
        <v>68</v>
      </c>
      <c r="J21" s="28" t="s">
        <v>88</v>
      </c>
      <c r="K21" s="10">
        <v>255</v>
      </c>
      <c r="L21" s="47">
        <f t="shared" si="7"/>
        <v>98298.910193542106</v>
      </c>
      <c r="M21" s="10">
        <f t="shared" si="0"/>
        <v>0.98298910193542111</v>
      </c>
      <c r="N21" s="10" t="s">
        <v>15</v>
      </c>
      <c r="O21" s="10">
        <f>_xll.HumidairTdbRHPsi(H21,I21,M21,N21)</f>
        <v>2.8510135349699224E-3</v>
      </c>
      <c r="P21" s="49">
        <f t="shared" si="1"/>
        <v>2.8510135349699226</v>
      </c>
      <c r="Q21" s="53"/>
      <c r="R21" s="58">
        <v>2.8510135349699226</v>
      </c>
      <c r="S21" s="4"/>
      <c r="T21" s="10">
        <v>10</v>
      </c>
      <c r="U21" s="10" t="s">
        <v>144</v>
      </c>
      <c r="V21" s="78">
        <f>_xll.HumidairTdbRHPsi(H21, I21,M21,U21)</f>
        <v>-3.7521521728652374</v>
      </c>
      <c r="W21" s="79">
        <v>-3.7521521728652374</v>
      </c>
      <c r="X21" s="4"/>
      <c r="Y21" s="10">
        <v>10</v>
      </c>
      <c r="Z21" s="10" t="s">
        <v>145</v>
      </c>
      <c r="AA21" s="78">
        <f>_xll.HumidairTdbRHPsi(H21,I21,M21,Z21)</f>
        <v>8.1469836133166442</v>
      </c>
      <c r="AB21" s="78">
        <f t="shared" si="8"/>
        <v>45.146983613316642</v>
      </c>
      <c r="AC21" s="80">
        <v>45.146983613316642</v>
      </c>
      <c r="AE21" s="10" t="s">
        <v>146</v>
      </c>
      <c r="AF21" s="78">
        <f>_xll.HumidairTdbRHPsi(H21,I21,M21,AE21)</f>
        <v>1.0141625577269338</v>
      </c>
      <c r="AG21" s="81">
        <f t="shared" si="9"/>
        <v>38.014162557726934</v>
      </c>
      <c r="AH21" s="80">
        <v>38.014162557726934</v>
      </c>
      <c r="AJ21" s="10" t="s">
        <v>150</v>
      </c>
      <c r="AK21" s="84">
        <f>_xll.HumidairTdbRHPsi(H21,I21,M21,AJ21)</f>
        <v>0.80013656035019709</v>
      </c>
      <c r="AL21" s="58">
        <v>0.80013656035019709</v>
      </c>
      <c r="AN21" s="48">
        <f t="shared" si="10"/>
        <v>0.53091424291929923</v>
      </c>
      <c r="AO21" s="81">
        <f t="shared" si="11"/>
        <v>5.3700076292797565</v>
      </c>
      <c r="AP21" s="81">
        <f t="shared" si="12"/>
        <v>13.11751422333178</v>
      </c>
      <c r="AR21" s="58">
        <v>0.53091424291929923</v>
      </c>
      <c r="AS21" s="80">
        <v>5.3700076292797565</v>
      </c>
      <c r="AT21" s="80">
        <v>13.11751422333178</v>
      </c>
      <c r="AU21" s="85"/>
      <c r="AV21" s="49">
        <f t="shared" si="2"/>
        <v>0.10408575708070078</v>
      </c>
      <c r="AW21" s="162">
        <f t="shared" si="3"/>
        <v>1.0408575708070077E-4</v>
      </c>
      <c r="AX21" s="10">
        <f t="shared" si="4"/>
        <v>38</v>
      </c>
      <c r="AY21" s="55">
        <f t="shared" si="5"/>
        <v>3.2947305546325023E-3</v>
      </c>
      <c r="AZ21" s="55">
        <f t="shared" si="6"/>
        <v>1.9346626862199073E-3</v>
      </c>
      <c r="BA21" s="153"/>
      <c r="BB21" s="58">
        <v>0.10408575708070078</v>
      </c>
      <c r="BC21" s="167">
        <v>1.0408575708070077E-4</v>
      </c>
      <c r="BD21" s="168">
        <v>38</v>
      </c>
      <c r="BE21" s="170">
        <v>3.2947305546325023E-3</v>
      </c>
      <c r="BF21" s="171">
        <v>1.9346626862199073E-3</v>
      </c>
      <c r="BH21" s="81">
        <f t="shared" si="13"/>
        <v>349.48370636262536</v>
      </c>
      <c r="BI21" s="80">
        <v>349.48370636262536</v>
      </c>
      <c r="BK21" s="81">
        <f t="shared" si="14"/>
        <v>45.146983613316642</v>
      </c>
      <c r="BL21" s="81">
        <f t="shared" si="15"/>
        <v>38.014162557726934</v>
      </c>
      <c r="BM21" s="81">
        <f t="shared" si="16"/>
        <v>7.1328210555897087</v>
      </c>
      <c r="BN21" s="192">
        <f t="shared" si="17"/>
        <v>0.15799108788047134</v>
      </c>
      <c r="BO21" s="81">
        <f t="shared" si="18"/>
        <v>38</v>
      </c>
      <c r="BP21" s="49">
        <f t="shared" si="19"/>
        <v>6.0036613394579108</v>
      </c>
      <c r="BQ21" s="82">
        <f t="shared" si="20"/>
        <v>3103.2083175120961</v>
      </c>
      <c r="BS21" s="193">
        <v>3103.2083175120961</v>
      </c>
    </row>
    <row r="22" spans="1:71" x14ac:dyDescent="0.25">
      <c r="A22">
        <v>11</v>
      </c>
      <c r="C22" s="9" t="s">
        <v>77</v>
      </c>
      <c r="D22" s="10" t="s">
        <v>78</v>
      </c>
      <c r="E22" s="11" t="s">
        <v>79</v>
      </c>
      <c r="F22" s="33">
        <v>44275</v>
      </c>
      <c r="G22" s="34">
        <v>0.3527777777777778</v>
      </c>
      <c r="H22" s="28">
        <v>18</v>
      </c>
      <c r="I22" s="28">
        <v>23</v>
      </c>
      <c r="J22" s="28" t="s">
        <v>90</v>
      </c>
      <c r="K22" s="10">
        <v>138</v>
      </c>
      <c r="L22" s="47">
        <f>+((101325*(1-(2.25577*10^-5)*(K22))^5.25588))</f>
        <v>99678.130068961269</v>
      </c>
      <c r="M22" s="10">
        <f t="shared" si="0"/>
        <v>0.99678130068961268</v>
      </c>
      <c r="N22" s="10" t="s">
        <v>15</v>
      </c>
      <c r="O22" s="10">
        <f>_xll.HumidairTdbRHPsi(H22,I22,M22,N22)</f>
        <v>2.9887234377960546E-3</v>
      </c>
      <c r="P22" s="49">
        <f t="shared" si="1"/>
        <v>2.9887234377960548</v>
      </c>
      <c r="Q22" s="53"/>
      <c r="R22" s="58">
        <v>2.9887234377960548</v>
      </c>
      <c r="S22" s="4"/>
      <c r="T22" s="10">
        <v>11</v>
      </c>
      <c r="U22" s="10" t="s">
        <v>144</v>
      </c>
      <c r="V22" s="78">
        <f>_xll.HumidairTdbRHPsi(H22, I22,M22,U22)</f>
        <v>-3.0317242230048009</v>
      </c>
      <c r="W22" s="79">
        <v>-3.0317242230048009</v>
      </c>
      <c r="X22" s="4"/>
      <c r="Y22" s="10">
        <v>11</v>
      </c>
      <c r="Z22" s="10" t="s">
        <v>145</v>
      </c>
      <c r="AA22" s="78">
        <f>_xll.HumidairTdbRHPsi(H22,I22,M22,Z22)</f>
        <v>25.684435263161955</v>
      </c>
      <c r="AB22" s="78">
        <f t="shared" si="8"/>
        <v>62.684435263161959</v>
      </c>
      <c r="AC22" s="80">
        <v>62.684435263161959</v>
      </c>
      <c r="AE22" s="10" t="s">
        <v>146</v>
      </c>
      <c r="AF22" s="78">
        <f>_xll.HumidairTdbRHPsi(H22,I22,M22,AE22)</f>
        <v>18.112074608275975</v>
      </c>
      <c r="AG22" s="81">
        <f t="shared" si="9"/>
        <v>55.112074608275975</v>
      </c>
      <c r="AH22" s="80">
        <v>55.112074608275975</v>
      </c>
      <c r="AJ22" s="10" t="s">
        <v>150</v>
      </c>
      <c r="AK22" s="84">
        <f>_xll.HumidairTdbRHPsi(H22,I22,M22,AJ22)</f>
        <v>0.83814907762408786</v>
      </c>
      <c r="AL22" s="58">
        <v>0.83814907762408786</v>
      </c>
      <c r="AN22" s="48">
        <f t="shared" si="10"/>
        <v>0.50683572590042603</v>
      </c>
      <c r="AO22" s="81">
        <f t="shared" si="11"/>
        <v>5.8968286666974725</v>
      </c>
      <c r="AP22" s="81">
        <f t="shared" si="12"/>
        <v>14.404399257497767</v>
      </c>
      <c r="AR22" s="58">
        <v>0.50683572590042603</v>
      </c>
      <c r="AS22" s="80">
        <v>5.8968286666974725</v>
      </c>
      <c r="AT22" s="80">
        <v>14.404399257497767</v>
      </c>
      <c r="AU22" s="85"/>
      <c r="AV22" s="49">
        <f t="shared" si="2"/>
        <v>0.12816427409957398</v>
      </c>
      <c r="AW22" s="162">
        <f t="shared" si="3"/>
        <v>1.2816427409957399E-4</v>
      </c>
      <c r="AX22" s="10">
        <f t="shared" si="4"/>
        <v>55</v>
      </c>
      <c r="AY22" s="55">
        <f t="shared" si="5"/>
        <v>5.8718462178719818E-3</v>
      </c>
      <c r="AZ22" s="55">
        <f t="shared" si="6"/>
        <v>3.4479425824262958E-3</v>
      </c>
      <c r="BA22" s="153"/>
      <c r="BB22" s="58">
        <v>0.12816427409957398</v>
      </c>
      <c r="BC22" s="167">
        <v>1.2816427409957399E-4</v>
      </c>
      <c r="BD22" s="168">
        <v>55</v>
      </c>
      <c r="BE22" s="170">
        <v>5.8718462178719818E-3</v>
      </c>
      <c r="BF22" s="171">
        <v>3.4479425824262958E-3</v>
      </c>
      <c r="BH22" s="81">
        <f t="shared" si="13"/>
        <v>333.63359594705213</v>
      </c>
      <c r="BI22" s="80">
        <v>333.63359594705213</v>
      </c>
      <c r="BK22" s="81">
        <f t="shared" si="14"/>
        <v>62.684435263161959</v>
      </c>
      <c r="BL22" s="81">
        <f t="shared" si="15"/>
        <v>55.112074608275975</v>
      </c>
      <c r="BM22" s="81">
        <f t="shared" si="16"/>
        <v>7.5723606548859834</v>
      </c>
      <c r="BN22" s="192">
        <f t="shared" si="17"/>
        <v>0.12080129019421934</v>
      </c>
      <c r="BO22" s="81">
        <f t="shared" si="18"/>
        <v>55</v>
      </c>
      <c r="BP22" s="49">
        <f t="shared" si="19"/>
        <v>6.6440709606820638</v>
      </c>
      <c r="BQ22" s="82">
        <f t="shared" si="20"/>
        <v>1926.9668220538267</v>
      </c>
      <c r="BS22" s="193">
        <v>1926.9668220538267</v>
      </c>
    </row>
    <row r="23" spans="1:71" x14ac:dyDescent="0.25">
      <c r="A23">
        <v>12</v>
      </c>
      <c r="B23" s="1" t="s">
        <v>48</v>
      </c>
      <c r="C23" s="9" t="s">
        <v>45</v>
      </c>
      <c r="D23" s="10" t="s">
        <v>46</v>
      </c>
      <c r="E23" s="11" t="s">
        <v>47</v>
      </c>
      <c r="F23" s="33">
        <v>44275</v>
      </c>
      <c r="G23" s="29">
        <v>0.39583333333333331</v>
      </c>
      <c r="H23" s="28">
        <v>27</v>
      </c>
      <c r="I23" s="28">
        <v>83</v>
      </c>
      <c r="J23" s="28" t="s">
        <v>86</v>
      </c>
      <c r="K23" s="10">
        <v>30</v>
      </c>
      <c r="L23" s="47">
        <f>+((101325*(1-(2.25577*10^-5)*(K23))^5.25588))</f>
        <v>100965.12412724759</v>
      </c>
      <c r="M23" s="10">
        <f t="shared" si="0"/>
        <v>1.0096512412724759</v>
      </c>
      <c r="N23" s="10" t="s">
        <v>15</v>
      </c>
      <c r="O23" s="10">
        <f>_xll.HumidairTdbRHPsi(H23,I23,M23,N23)</f>
        <v>1.8873286647189659E-2</v>
      </c>
      <c r="P23" s="49">
        <f t="shared" si="1"/>
        <v>18.873286647189659</v>
      </c>
      <c r="Q23" s="53"/>
      <c r="R23" s="58">
        <v>18.873286647189659</v>
      </c>
      <c r="S23" s="4"/>
      <c r="T23" s="10">
        <v>12</v>
      </c>
      <c r="U23" s="10" t="s">
        <v>144</v>
      </c>
      <c r="V23" s="78">
        <f>_xll.HumidairTdbRHPsi(H23, I23,M23,U23)</f>
        <v>23.865747288956356</v>
      </c>
      <c r="W23" s="79">
        <v>23.865747288956356</v>
      </c>
      <c r="X23" s="4"/>
      <c r="Y23" s="10">
        <v>12</v>
      </c>
      <c r="Z23" s="10" t="s">
        <v>145</v>
      </c>
      <c r="AA23" s="78">
        <f>_xll.HumidairTdbRHPsi(H23,I23,M23,Z23)</f>
        <v>75.284357069557061</v>
      </c>
      <c r="AB23" s="78">
        <f t="shared" si="8"/>
        <v>112.28435706955706</v>
      </c>
      <c r="AC23" s="80">
        <v>112.28435706955706</v>
      </c>
      <c r="AE23" s="10" t="s">
        <v>146</v>
      </c>
      <c r="AF23" s="78">
        <f>_xll.HumidairTdbRHPsi(H23,I23,M23,AE23)</f>
        <v>27.166135458840738</v>
      </c>
      <c r="AG23" s="81">
        <f t="shared" si="9"/>
        <v>64.166135458840742</v>
      </c>
      <c r="AH23" s="80">
        <v>64.166135458840742</v>
      </c>
      <c r="AJ23" s="10" t="s">
        <v>150</v>
      </c>
      <c r="AK23" s="84">
        <f>_xll.HumidairTdbRHPsi(H23,I23,M23,AJ23)</f>
        <v>0.85311232746273591</v>
      </c>
      <c r="AL23" s="58">
        <v>0.85311232746273591</v>
      </c>
      <c r="AN23" s="48">
        <f t="shared" si="10"/>
        <v>0.49794602949156497</v>
      </c>
      <c r="AO23" s="81">
        <f t="shared" si="11"/>
        <v>37.902273598728165</v>
      </c>
      <c r="AP23" s="81">
        <f t="shared" si="12"/>
        <v>92.585271260520202</v>
      </c>
      <c r="AR23" s="58">
        <v>0.49794602949156497</v>
      </c>
      <c r="AS23" s="80">
        <v>37.902273598728165</v>
      </c>
      <c r="AT23" s="80">
        <v>92.585271260520202</v>
      </c>
      <c r="AU23" s="85"/>
      <c r="AV23" s="49">
        <f t="shared" si="2"/>
        <v>0.13705397050843504</v>
      </c>
      <c r="AW23" s="162">
        <f t="shared" si="3"/>
        <v>1.3705397050843505E-4</v>
      </c>
      <c r="AX23" s="10">
        <f t="shared" si="4"/>
        <v>64</v>
      </c>
      <c r="AY23" s="55">
        <f t="shared" si="5"/>
        <v>7.3066212757456894E-3</v>
      </c>
      <c r="AZ23" s="55">
        <f t="shared" si="6"/>
        <v>4.2904411484120308E-3</v>
      </c>
      <c r="BA23" s="153"/>
      <c r="BB23" s="58">
        <v>0.13705397050843504</v>
      </c>
      <c r="BC23" s="167">
        <v>1.3705397050843505E-4</v>
      </c>
      <c r="BD23" s="168">
        <v>64</v>
      </c>
      <c r="BE23" s="170">
        <v>7.3066212757456894E-3</v>
      </c>
      <c r="BF23" s="171">
        <v>4.2904411484120308E-3</v>
      </c>
      <c r="BH23" s="81">
        <f t="shared" si="13"/>
        <v>327.7817957912979</v>
      </c>
      <c r="BI23" s="80">
        <v>327.7817957912979</v>
      </c>
      <c r="BK23" s="81">
        <f t="shared" si="14"/>
        <v>112.28435706955706</v>
      </c>
      <c r="BL23" s="81">
        <f t="shared" si="15"/>
        <v>64.166135458840742</v>
      </c>
      <c r="BM23" s="81">
        <f t="shared" si="16"/>
        <v>48.118221610716319</v>
      </c>
      <c r="BN23" s="192">
        <f t="shared" si="17"/>
        <v>0.42853896006999809</v>
      </c>
      <c r="BO23" s="81">
        <f t="shared" si="18"/>
        <v>64</v>
      </c>
      <c r="BP23" s="49">
        <f t="shared" si="19"/>
        <v>27.426493444479878</v>
      </c>
      <c r="BQ23" s="82">
        <f t="shared" si="20"/>
        <v>6392.464666397047</v>
      </c>
      <c r="BS23" s="193">
        <v>6392.464666397047</v>
      </c>
    </row>
    <row r="24" spans="1:71" x14ac:dyDescent="0.25">
      <c r="A24">
        <v>13</v>
      </c>
      <c r="C24" s="26" t="s">
        <v>49</v>
      </c>
      <c r="D24" s="27" t="s">
        <v>50</v>
      </c>
      <c r="E24" s="10" t="s">
        <v>51</v>
      </c>
      <c r="F24" s="33">
        <v>44275</v>
      </c>
      <c r="G24" s="29">
        <v>0.68541666666666667</v>
      </c>
      <c r="H24" s="28">
        <v>29</v>
      </c>
      <c r="I24" s="28">
        <v>82</v>
      </c>
      <c r="J24" s="28" t="s">
        <v>91</v>
      </c>
      <c r="K24" s="10">
        <v>3</v>
      </c>
      <c r="L24" s="47">
        <f>+((101325*(1-(2.25577*10^-5)*(K24))^5.25588))</f>
        <v>101288.96574192833</v>
      </c>
      <c r="M24" s="10">
        <f t="shared" si="0"/>
        <v>1.0128896574192834</v>
      </c>
      <c r="N24" s="10" t="s">
        <v>15</v>
      </c>
      <c r="O24" s="10">
        <f>_xll.HumidairTdbRHPsi(H24,I24,M24,N24)</f>
        <v>2.0953168267976476E-2</v>
      </c>
      <c r="P24" s="49">
        <f t="shared" si="1"/>
        <v>20.953168267976476</v>
      </c>
      <c r="Q24" s="53"/>
      <c r="R24" s="58">
        <v>20.953168267976476</v>
      </c>
      <c r="S24" s="4"/>
      <c r="T24" s="10">
        <v>13</v>
      </c>
      <c r="U24" s="10" t="s">
        <v>144</v>
      </c>
      <c r="V24" s="78">
        <f>_xll.HumidairTdbRHPsi(H24, I24,M24,U24)</f>
        <v>25.614297086673162</v>
      </c>
      <c r="W24" s="79">
        <v>25.614297086673162</v>
      </c>
      <c r="X24" s="4"/>
      <c r="Y24" s="10">
        <v>13</v>
      </c>
      <c r="Z24" s="10" t="s">
        <v>145</v>
      </c>
      <c r="AA24" s="78">
        <f>_xll.HumidairTdbRHPsi(H24,I24,M24,Z24)</f>
        <v>82.676148745967254</v>
      </c>
      <c r="AB24" s="78">
        <f t="shared" si="8"/>
        <v>119.67614874596725</v>
      </c>
      <c r="AC24" s="80">
        <v>119.67614874596725</v>
      </c>
      <c r="AE24" s="10" t="s">
        <v>146</v>
      </c>
      <c r="AF24" s="78">
        <f>_xll.HumidairTdbRHPsi(H24,I24,M24,AE24)</f>
        <v>29.178492397226094</v>
      </c>
      <c r="AG24" s="81">
        <f t="shared" si="9"/>
        <v>66.178492397226094</v>
      </c>
      <c r="AH24" s="80">
        <v>66.178492397226094</v>
      </c>
      <c r="AJ24" s="10" t="s">
        <v>150</v>
      </c>
      <c r="AK24" s="84">
        <f>_xll.HumidairTdbRHPsi(H24,I24,M24,AJ24)</f>
        <v>0.85606538694283607</v>
      </c>
      <c r="AL24" s="58">
        <v>0.85606538694283607</v>
      </c>
      <c r="AN24" s="48">
        <f t="shared" si="10"/>
        <v>0.49622832864137689</v>
      </c>
      <c r="AO24" s="81">
        <f t="shared" si="11"/>
        <v>42.224853073874556</v>
      </c>
      <c r="AP24" s="81">
        <f t="shared" si="12"/>
        <v>103.14419438710053</v>
      </c>
      <c r="AR24" s="58">
        <v>0.49622832864137689</v>
      </c>
      <c r="AS24" s="80">
        <v>42.224853073874556</v>
      </c>
      <c r="AT24" s="80">
        <v>103.14419438710053</v>
      </c>
      <c r="AU24" s="85"/>
      <c r="AV24" s="49">
        <f t="shared" si="2"/>
        <v>0.13877167135862312</v>
      </c>
      <c r="AW24" s="162">
        <f t="shared" si="3"/>
        <v>1.3877167135862312E-4</v>
      </c>
      <c r="AX24" s="10">
        <f t="shared" si="4"/>
        <v>66</v>
      </c>
      <c r="AY24" s="55">
        <f t="shared" si="5"/>
        <v>7.6293889479543816E-3</v>
      </c>
      <c r="AZ24" s="55">
        <f t="shared" si="6"/>
        <v>4.4799700222867772E-3</v>
      </c>
      <c r="BA24" s="153"/>
      <c r="BB24" s="58">
        <v>0.13877167135862312</v>
      </c>
      <c r="BC24" s="167">
        <v>1.3877167135862312E-4</v>
      </c>
      <c r="BD24" s="168">
        <v>66</v>
      </c>
      <c r="BE24" s="170">
        <v>7.6293889479543816E-3</v>
      </c>
      <c r="BF24" s="171">
        <v>4.4799700222867772E-3</v>
      </c>
      <c r="BH24" s="81">
        <f t="shared" si="13"/>
        <v>326.65108877495362</v>
      </c>
      <c r="BI24" s="80">
        <v>326.65108877495362</v>
      </c>
      <c r="BK24" s="81">
        <f t="shared" si="14"/>
        <v>119.67614874596725</v>
      </c>
      <c r="BL24" s="81">
        <f t="shared" si="15"/>
        <v>66.178492397226094</v>
      </c>
      <c r="BM24" s="81">
        <f t="shared" si="16"/>
        <v>53.49765634874116</v>
      </c>
      <c r="BN24" s="192">
        <f t="shared" si="17"/>
        <v>0.4470202033514542</v>
      </c>
      <c r="BO24" s="81">
        <f t="shared" si="18"/>
        <v>66</v>
      </c>
      <c r="BP24" s="49">
        <f t="shared" si="19"/>
        <v>29.503333421195979</v>
      </c>
      <c r="BQ24" s="82">
        <f t="shared" si="20"/>
        <v>6585.6095631051021</v>
      </c>
      <c r="BS24" s="193">
        <v>6585.6095631051021</v>
      </c>
    </row>
    <row r="25" spans="1:71" x14ac:dyDescent="0.25">
      <c r="A25" s="5">
        <v>14</v>
      </c>
      <c r="B25" s="14"/>
      <c r="C25" s="9" t="s">
        <v>172</v>
      </c>
      <c r="D25" s="10" t="s">
        <v>83</v>
      </c>
      <c r="E25" s="10" t="s">
        <v>84</v>
      </c>
      <c r="F25" s="33">
        <v>44275</v>
      </c>
      <c r="G25" s="29">
        <v>0.4777777777777778</v>
      </c>
      <c r="H25" s="28">
        <v>31</v>
      </c>
      <c r="I25" s="28">
        <v>67</v>
      </c>
      <c r="J25" s="28" t="s">
        <v>86</v>
      </c>
      <c r="K25" s="10">
        <v>61</v>
      </c>
      <c r="L25" s="47">
        <f>+((101325*(1-(2.25577*10^-5)*(K25))^5.25588))</f>
        <v>100594.34040699142</v>
      </c>
      <c r="M25" s="10">
        <f t="shared" si="0"/>
        <v>1.0059434040699142</v>
      </c>
      <c r="N25" s="10" t="s">
        <v>15</v>
      </c>
      <c r="O25" s="10">
        <f>_xll.HumidairTdbRHPsi(H25,I25,M25,N25)</f>
        <v>1.9286644551626611E-2</v>
      </c>
      <c r="P25" s="49">
        <f t="shared" si="1"/>
        <v>19.286644551626612</v>
      </c>
      <c r="Q25" s="53"/>
      <c r="R25" s="58">
        <v>19.286644551626612</v>
      </c>
      <c r="S25" s="4"/>
      <c r="T25" s="10">
        <v>14</v>
      </c>
      <c r="U25" s="10" t="s">
        <v>144</v>
      </c>
      <c r="V25" s="78">
        <f>_xll.HumidairTdbRHPsi(H25, I25,M25,U25)</f>
        <v>24.154501090229132</v>
      </c>
      <c r="W25" s="79">
        <v>24.154501090229132</v>
      </c>
      <c r="X25" s="4"/>
      <c r="Y25" s="10">
        <v>14</v>
      </c>
      <c r="Z25" s="10" t="s">
        <v>145</v>
      </c>
      <c r="AA25" s="78">
        <f>_xll.HumidairTdbRHPsi(H25,I25,M25,Z25)</f>
        <v>80.510923118942216</v>
      </c>
      <c r="AB25" s="78">
        <f t="shared" si="8"/>
        <v>117.51092311894222</v>
      </c>
      <c r="AC25" s="80">
        <v>117.51092311894222</v>
      </c>
      <c r="AE25" s="10" t="s">
        <v>146</v>
      </c>
      <c r="AF25" s="78">
        <f>_xll.HumidairTdbRHPsi(H25,I25,M25,AE25)</f>
        <v>31.193267980744118</v>
      </c>
      <c r="AG25" s="81">
        <f t="shared" si="9"/>
        <v>68.19326798074411</v>
      </c>
      <c r="AH25" s="80">
        <v>68.19326798074411</v>
      </c>
      <c r="AJ25" s="10" t="s">
        <v>150</v>
      </c>
      <c r="AK25" s="84">
        <f>_xll.HumidairTdbRHPsi(H25,I25,M25,AJ25)</f>
        <v>0.86769865263922619</v>
      </c>
      <c r="AL25" s="58">
        <v>0.86769865263922619</v>
      </c>
      <c r="AN25" s="48">
        <f t="shared" si="10"/>
        <v>0.48957537836238074</v>
      </c>
      <c r="AO25" s="81">
        <f t="shared" si="11"/>
        <v>39.394637483894776</v>
      </c>
      <c r="AP25" s="81">
        <f t="shared" si="12"/>
        <v>96.230723155843734</v>
      </c>
      <c r="AR25" s="58">
        <v>0.48957537836238074</v>
      </c>
      <c r="AS25" s="80">
        <v>39.394637483894776</v>
      </c>
      <c r="AT25" s="80">
        <v>96.230723155843734</v>
      </c>
      <c r="AU25" s="85"/>
      <c r="AV25" s="49">
        <f t="shared" si="2"/>
        <v>0.14542462163761927</v>
      </c>
      <c r="AW25" s="162">
        <f t="shared" si="3"/>
        <v>1.4542462163761926E-4</v>
      </c>
      <c r="AX25" s="10">
        <f t="shared" si="4"/>
        <v>68</v>
      </c>
      <c r="AY25" s="55">
        <f t="shared" si="5"/>
        <v>8.2374322680413056E-3</v>
      </c>
      <c r="AZ25" s="55">
        <f t="shared" si="6"/>
        <v>4.8370124885738731E-3</v>
      </c>
      <c r="BA25" s="153"/>
      <c r="BB25" s="58">
        <v>0.14542462163761927</v>
      </c>
      <c r="BC25" s="167">
        <v>1.4542462163761926E-4</v>
      </c>
      <c r="BD25" s="168">
        <v>68</v>
      </c>
      <c r="BE25" s="170">
        <v>8.2374322680413056E-3</v>
      </c>
      <c r="BF25" s="171">
        <v>4.8370124885738731E-3</v>
      </c>
      <c r="BH25" s="81">
        <f t="shared" si="13"/>
        <v>322.27166638657502</v>
      </c>
      <c r="BI25" s="80">
        <v>322.27166638657502</v>
      </c>
      <c r="BK25" s="81">
        <f t="shared" si="14"/>
        <v>117.51092311894222</v>
      </c>
      <c r="BL25" s="81">
        <f t="shared" si="15"/>
        <v>68.19326798074411</v>
      </c>
      <c r="BM25" s="81">
        <f t="shared" si="16"/>
        <v>49.317655138198106</v>
      </c>
      <c r="BN25" s="192">
        <f t="shared" si="17"/>
        <v>0.41968570945766254</v>
      </c>
      <c r="BO25" s="81">
        <f t="shared" si="18"/>
        <v>68</v>
      </c>
      <c r="BP25" s="49">
        <f t="shared" si="19"/>
        <v>28.538628243121053</v>
      </c>
      <c r="BQ25" s="82">
        <f t="shared" si="20"/>
        <v>5900.0526276365426</v>
      </c>
      <c r="BS25" s="193">
        <v>5900.0526276365426</v>
      </c>
    </row>
    <row r="26" spans="1:71" x14ac:dyDescent="0.25">
      <c r="A26">
        <v>15</v>
      </c>
      <c r="C26" s="9" t="s">
        <v>52</v>
      </c>
      <c r="D26" s="10" t="s">
        <v>53</v>
      </c>
      <c r="E26" s="10" t="s">
        <v>54</v>
      </c>
      <c r="F26" s="33">
        <v>44275</v>
      </c>
      <c r="G26" s="29">
        <v>0.2298611111111111</v>
      </c>
      <c r="H26" s="28">
        <v>11</v>
      </c>
      <c r="I26" s="28">
        <v>63</v>
      </c>
      <c r="J26" s="28" t="s">
        <v>87</v>
      </c>
      <c r="K26" s="10">
        <v>533</v>
      </c>
      <c r="L26" s="47">
        <f t="shared" si="7"/>
        <v>95083.68775760736</v>
      </c>
      <c r="M26" s="10">
        <f t="shared" si="0"/>
        <v>0.9508368775760736</v>
      </c>
      <c r="N26" s="10" t="s">
        <v>15</v>
      </c>
      <c r="O26" s="10">
        <f>_xll.HumidairTdbRHPsi(H26,I26,M26,N26)</f>
        <v>5.478026215435027E-3</v>
      </c>
      <c r="P26" s="49">
        <f t="shared" si="1"/>
        <v>5.478026215435027</v>
      </c>
      <c r="Q26" s="53"/>
      <c r="R26" s="58">
        <v>5.478026215435027</v>
      </c>
      <c r="S26" s="4"/>
      <c r="T26" s="10">
        <v>15</v>
      </c>
      <c r="U26" s="10" t="s">
        <v>144</v>
      </c>
      <c r="V26" s="78">
        <f>_xll.HumidairTdbRHPsi(H26, I26,M26,U26)</f>
        <v>4.2355354993731567</v>
      </c>
      <c r="W26" s="79">
        <v>4.2355354993731567</v>
      </c>
      <c r="X26" s="4"/>
      <c r="Y26" s="10">
        <v>15</v>
      </c>
      <c r="Z26" s="10" t="s">
        <v>145</v>
      </c>
      <c r="AA26" s="78">
        <f>_xll.HumidairTdbRHPsi(H26,I26,M26,Z26)</f>
        <v>24.887934299564826</v>
      </c>
      <c r="AB26" s="78">
        <f t="shared" si="8"/>
        <v>61.887934299564826</v>
      </c>
      <c r="AC26" s="80">
        <v>61.887934299564826</v>
      </c>
      <c r="AE26" s="10" t="s">
        <v>146</v>
      </c>
      <c r="AF26" s="78">
        <f>_xll.HumidairTdbRHPsi(H26,I26,M26,AE26)</f>
        <v>11.08113872308429</v>
      </c>
      <c r="AG26" s="81">
        <f t="shared" si="9"/>
        <v>48.081138723084294</v>
      </c>
      <c r="AH26" s="80">
        <v>48.081138723084294</v>
      </c>
      <c r="AJ26" s="10" t="s">
        <v>150</v>
      </c>
      <c r="AK26" s="84">
        <f>_xll.HumidairTdbRHPsi(H26,I26,M26,AJ26)</f>
        <v>0.85747815230369584</v>
      </c>
      <c r="AL26" s="58">
        <v>0.85747815230369584</v>
      </c>
      <c r="AN26" s="48">
        <f t="shared" si="10"/>
        <v>0.49541075189974393</v>
      </c>
      <c r="AO26" s="81">
        <f t="shared" si="11"/>
        <v>11.057544056984078</v>
      </c>
      <c r="AP26" s="81">
        <f t="shared" si="12"/>
        <v>27.010667666790759</v>
      </c>
      <c r="AR26" s="58">
        <v>0.49541075189974393</v>
      </c>
      <c r="AS26" s="80">
        <v>11.057544056984078</v>
      </c>
      <c r="AT26" s="80">
        <v>27.010667666790759</v>
      </c>
      <c r="AU26" s="85"/>
      <c r="AV26" s="49">
        <f t="shared" si="2"/>
        <v>0.13958924810025608</v>
      </c>
      <c r="AW26" s="162">
        <f t="shared" si="3"/>
        <v>1.3958924810025607E-4</v>
      </c>
      <c r="AX26" s="10">
        <f t="shared" si="4"/>
        <v>48</v>
      </c>
      <c r="AY26" s="55">
        <f t="shared" si="5"/>
        <v>5.5813364960406384E-3</v>
      </c>
      <c r="AZ26" s="55">
        <f t="shared" si="6"/>
        <v>3.2773555467061882E-3</v>
      </c>
      <c r="BA26" s="153"/>
      <c r="BB26" s="58">
        <v>0.13958924810025608</v>
      </c>
      <c r="BC26" s="167">
        <v>1.3958924810025607E-4</v>
      </c>
      <c r="BD26" s="168">
        <v>48</v>
      </c>
      <c r="BE26" s="170">
        <v>5.5813364960406384E-3</v>
      </c>
      <c r="BF26" s="171">
        <v>3.2773555467061882E-3</v>
      </c>
      <c r="BH26" s="81">
        <f t="shared" si="13"/>
        <v>326.11290440014642</v>
      </c>
      <c r="BI26" s="80">
        <v>326.11290440014642</v>
      </c>
      <c r="BK26" s="81">
        <f t="shared" si="14"/>
        <v>61.887934299564826</v>
      </c>
      <c r="BL26" s="81">
        <f t="shared" si="15"/>
        <v>48.081138723084294</v>
      </c>
      <c r="BM26" s="81">
        <f t="shared" si="16"/>
        <v>13.806795576480532</v>
      </c>
      <c r="BN26" s="192">
        <f t="shared" si="17"/>
        <v>0.22309349524657857</v>
      </c>
      <c r="BO26" s="81">
        <f t="shared" si="18"/>
        <v>48</v>
      </c>
      <c r="BP26" s="49">
        <f t="shared" si="19"/>
        <v>10.70848777183577</v>
      </c>
      <c r="BQ26" s="82">
        <f t="shared" si="20"/>
        <v>3267.417165829941</v>
      </c>
      <c r="BS26" s="193">
        <v>3267.417165829941</v>
      </c>
    </row>
    <row r="27" spans="1:71" x14ac:dyDescent="0.25">
      <c r="A27">
        <v>16</v>
      </c>
      <c r="C27" s="9" t="s">
        <v>55</v>
      </c>
      <c r="D27" s="10" t="s">
        <v>56</v>
      </c>
      <c r="E27" s="11" t="s">
        <v>57</v>
      </c>
      <c r="F27" s="33">
        <v>44275</v>
      </c>
      <c r="G27" s="29">
        <v>0.43888888888888888</v>
      </c>
      <c r="H27" s="28">
        <v>20</v>
      </c>
      <c r="I27" s="28">
        <v>93</v>
      </c>
      <c r="J27" s="28" t="s">
        <v>85</v>
      </c>
      <c r="K27" s="10">
        <v>61</v>
      </c>
      <c r="L27" s="47">
        <f t="shared" si="7"/>
        <v>100594.34040699142</v>
      </c>
      <c r="M27" s="10">
        <f t="shared" si="0"/>
        <v>1.0059434040699142</v>
      </c>
      <c r="N27" s="10" t="s">
        <v>15</v>
      </c>
      <c r="O27" s="10">
        <f>_xll.HumidairTdbRHPsi(H27,I27,M27,N27)</f>
        <v>1.3802861570406725E-2</v>
      </c>
      <c r="P27" s="49">
        <f t="shared" si="1"/>
        <v>13.802861570406725</v>
      </c>
      <c r="Q27" s="53"/>
      <c r="R27" s="58">
        <v>13.802861570406725</v>
      </c>
      <c r="S27" s="4"/>
      <c r="T27" s="10">
        <v>16</v>
      </c>
      <c r="U27" s="10" t="s">
        <v>144</v>
      </c>
      <c r="V27" s="78">
        <f>_xll.HumidairTdbRHPsi(H27, I27,M27,U27)</f>
        <v>18.834100379059748</v>
      </c>
      <c r="W27" s="79">
        <v>18.834100379059748</v>
      </c>
      <c r="X27" s="4"/>
      <c r="Y27" s="10">
        <v>16</v>
      </c>
      <c r="Z27" s="10" t="s">
        <v>145</v>
      </c>
      <c r="AA27" s="78">
        <f>_xll.HumidairTdbRHPsi(H27,I27,M27,Z27)</f>
        <v>55.135195082744055</v>
      </c>
      <c r="AB27" s="78">
        <f t="shared" si="8"/>
        <v>92.135195082744048</v>
      </c>
      <c r="AC27" s="80">
        <v>92.135195082744048</v>
      </c>
      <c r="AE27" s="10" t="s">
        <v>146</v>
      </c>
      <c r="AF27" s="78">
        <f>_xll.HumidairTdbRHPsi(H27,I27,M27,AE27)</f>
        <v>20.12232448518543</v>
      </c>
      <c r="AG27" s="81">
        <f t="shared" si="9"/>
        <v>57.12232448518543</v>
      </c>
      <c r="AH27" s="80">
        <v>57.12232448518543</v>
      </c>
      <c r="AJ27" s="10" t="s">
        <v>150</v>
      </c>
      <c r="AK27" s="84">
        <f>_xll.HumidairTdbRHPsi(H27,I27,M27,AJ27)</f>
        <v>0.83623401778994866</v>
      </c>
      <c r="AL27" s="58">
        <v>0.83623401778994866</v>
      </c>
      <c r="AN27" s="48">
        <f t="shared" si="10"/>
        <v>0.50799643058419852</v>
      </c>
      <c r="AO27" s="81">
        <f t="shared" si="11"/>
        <v>27.171178259133359</v>
      </c>
      <c r="AP27" s="81">
        <f t="shared" si="12"/>
        <v>66.37203182645554</v>
      </c>
      <c r="AR27" s="58">
        <v>0.50799643058419852</v>
      </c>
      <c r="AS27" s="80">
        <v>27.171178259133359</v>
      </c>
      <c r="AT27" s="80">
        <v>66.37203182645554</v>
      </c>
      <c r="AU27" s="85"/>
      <c r="AV27" s="49">
        <f t="shared" si="2"/>
        <v>0.12700356941580149</v>
      </c>
      <c r="AW27" s="162">
        <f t="shared" si="3"/>
        <v>1.2700356941580147E-4</v>
      </c>
      <c r="AX27" s="10">
        <f t="shared" si="4"/>
        <v>57</v>
      </c>
      <c r="AY27" s="55">
        <f t="shared" si="5"/>
        <v>6.0302564794316692E-3</v>
      </c>
      <c r="AZ27" s="55">
        <f t="shared" si="6"/>
        <v>3.5409609391847735E-3</v>
      </c>
      <c r="BA27" s="153"/>
      <c r="BB27" s="58">
        <v>0.12700356941580149</v>
      </c>
      <c r="BC27" s="167">
        <v>1.2700356941580147E-4</v>
      </c>
      <c r="BD27" s="168">
        <v>57</v>
      </c>
      <c r="BE27" s="170">
        <v>6.0302564794316692E-3</v>
      </c>
      <c r="BF27" s="171">
        <v>3.5409609391847735E-3</v>
      </c>
      <c r="BH27" s="81">
        <f t="shared" si="13"/>
        <v>334.39765036881101</v>
      </c>
      <c r="BI27" s="80">
        <v>334.39765036881101</v>
      </c>
      <c r="BK27" s="81">
        <f t="shared" si="14"/>
        <v>92.135195082744048</v>
      </c>
      <c r="BL27" s="81">
        <f t="shared" si="15"/>
        <v>57.12232448518543</v>
      </c>
      <c r="BM27" s="81">
        <f t="shared" si="16"/>
        <v>35.012870597558617</v>
      </c>
      <c r="BN27" s="192">
        <f t="shared" si="17"/>
        <v>0.38001624206813189</v>
      </c>
      <c r="BO27" s="81">
        <f t="shared" si="18"/>
        <v>57</v>
      </c>
      <c r="BP27" s="49">
        <f t="shared" si="19"/>
        <v>21.660925797883518</v>
      </c>
      <c r="BQ27" s="82">
        <f t="shared" si="20"/>
        <v>6117.2450557645689</v>
      </c>
      <c r="BS27" s="193">
        <v>6117.2450557645689</v>
      </c>
    </row>
    <row r="28" spans="1:71" x14ac:dyDescent="0.25">
      <c r="A28">
        <v>17</v>
      </c>
      <c r="B28" s="1" t="s">
        <v>58</v>
      </c>
      <c r="C28" s="15" t="s">
        <v>59</v>
      </c>
      <c r="D28" s="16" t="s">
        <v>60</v>
      </c>
      <c r="E28" s="4" t="s">
        <v>61</v>
      </c>
      <c r="F28" s="33">
        <v>44275</v>
      </c>
      <c r="G28" s="29">
        <v>0.81527777777777777</v>
      </c>
      <c r="H28" s="28">
        <v>18</v>
      </c>
      <c r="I28" s="28">
        <v>64</v>
      </c>
      <c r="J28" s="36" t="s">
        <v>86</v>
      </c>
      <c r="K28" s="10">
        <v>9</v>
      </c>
      <c r="L28" s="47">
        <f t="shared" si="7"/>
        <v>101216.9283556498</v>
      </c>
      <c r="M28" s="10">
        <f t="shared" si="0"/>
        <v>1.0121692835564979</v>
      </c>
      <c r="N28" s="10" t="s">
        <v>15</v>
      </c>
      <c r="O28" s="10">
        <f>_xll.HumidairTdbRHPsi(H28,I28,M28,N28)</f>
        <v>8.2594630899919946E-3</v>
      </c>
      <c r="P28" s="49">
        <f t="shared" si="1"/>
        <v>8.2594630899919945</v>
      </c>
      <c r="Q28" s="53"/>
      <c r="R28" s="58">
        <v>8.2594630899919945</v>
      </c>
      <c r="S28" s="4"/>
      <c r="T28" s="10">
        <v>17</v>
      </c>
      <c r="U28" s="10" t="s">
        <v>144</v>
      </c>
      <c r="V28" s="78">
        <f>_xll.HumidairTdbRHPsi(H28, I28,M28,U28)</f>
        <v>11.097402375694912</v>
      </c>
      <c r="W28" s="79">
        <v>11.097402375694912</v>
      </c>
      <c r="X28" s="4"/>
      <c r="Y28" s="10">
        <v>17</v>
      </c>
      <c r="Z28" s="10" t="s">
        <v>145</v>
      </c>
      <c r="AA28" s="78">
        <f>_xll.HumidairTdbRHPsi(H28,I28,M28,Z28)</f>
        <v>39.031597166516342</v>
      </c>
      <c r="AB28" s="78">
        <f t="shared" si="8"/>
        <v>76.031597166516349</v>
      </c>
      <c r="AC28" s="80">
        <v>76.031597166516349</v>
      </c>
      <c r="AE28" s="10" t="s">
        <v>146</v>
      </c>
      <c r="AF28" s="78">
        <f>_xll.HumidairTdbRHPsi(H28,I28,M28,AE28)</f>
        <v>18.108341303226403</v>
      </c>
      <c r="AG28" s="81">
        <f t="shared" si="9"/>
        <v>55.108341303226403</v>
      </c>
      <c r="AH28" s="80">
        <v>55.108341303226403</v>
      </c>
      <c r="AJ28" s="10" t="s">
        <v>150</v>
      </c>
      <c r="AK28" s="84">
        <f>_xll.HumidairTdbRHPsi(H28,I28,M28,AJ28)</f>
        <v>0.82540202154660558</v>
      </c>
      <c r="AL28" s="58">
        <v>0.82540202154660558</v>
      </c>
      <c r="AN28" s="48">
        <f t="shared" si="10"/>
        <v>0.51466301884552745</v>
      </c>
      <c r="AO28" s="81">
        <f t="shared" si="11"/>
        <v>16.048293325056285</v>
      </c>
      <c r="AP28" s="81">
        <f t="shared" si="12"/>
        <v>39.201753607165934</v>
      </c>
      <c r="AR28" s="58">
        <v>0.51466301884552745</v>
      </c>
      <c r="AS28" s="80">
        <v>16.048293325056285</v>
      </c>
      <c r="AT28" s="80">
        <v>39.201753607165934</v>
      </c>
      <c r="AU28" s="85"/>
      <c r="AV28" s="49">
        <f t="shared" si="2"/>
        <v>0.12033698115447256</v>
      </c>
      <c r="AW28" s="162">
        <f t="shared" si="3"/>
        <v>1.2033698115447255E-4</v>
      </c>
      <c r="AX28" s="10">
        <f t="shared" si="4"/>
        <v>55</v>
      </c>
      <c r="AY28" s="55">
        <f t="shared" si="5"/>
        <v>5.5132387915921592E-3</v>
      </c>
      <c r="AZ28" s="55">
        <f t="shared" si="6"/>
        <v>3.2373686386330939E-3</v>
      </c>
      <c r="BA28" s="153"/>
      <c r="BB28" s="58">
        <v>0.12033698115447256</v>
      </c>
      <c r="BC28" s="167">
        <v>1.2033698115447255E-4</v>
      </c>
      <c r="BD28" s="168">
        <v>55</v>
      </c>
      <c r="BE28" s="170">
        <v>5.5132387915921592E-3</v>
      </c>
      <c r="BF28" s="171">
        <v>3.2373686386330939E-3</v>
      </c>
      <c r="BH28" s="81">
        <f t="shared" si="13"/>
        <v>338.78605020067789</v>
      </c>
      <c r="BI28" s="80">
        <v>338.78605020067789</v>
      </c>
      <c r="BK28" s="81">
        <f t="shared" si="14"/>
        <v>76.031597166516349</v>
      </c>
      <c r="BL28" s="81">
        <f t="shared" si="15"/>
        <v>55.108341303226403</v>
      </c>
      <c r="BM28" s="81">
        <f t="shared" si="16"/>
        <v>20.923255863289945</v>
      </c>
      <c r="BN28" s="192">
        <f t="shared" si="17"/>
        <v>0.27519158669606858</v>
      </c>
      <c r="BO28" s="81">
        <f t="shared" si="18"/>
        <v>55</v>
      </c>
      <c r="BP28" s="49">
        <f t="shared" si="19"/>
        <v>15.135537268283771</v>
      </c>
      <c r="BQ28" s="82">
        <f t="shared" si="20"/>
        <v>4675.2591248534527</v>
      </c>
      <c r="BS28" s="193">
        <v>4675.2591248534527</v>
      </c>
    </row>
    <row r="29" spans="1:71" x14ac:dyDescent="0.25">
      <c r="A29">
        <v>18</v>
      </c>
      <c r="C29" s="9" t="s">
        <v>62</v>
      </c>
      <c r="D29" s="10" t="s">
        <v>63</v>
      </c>
      <c r="E29" s="11" t="s">
        <v>64</v>
      </c>
      <c r="F29" s="33">
        <v>44275</v>
      </c>
      <c r="G29" s="29">
        <v>0.89513888888888893</v>
      </c>
      <c r="H29" s="28">
        <v>14</v>
      </c>
      <c r="I29" s="28">
        <v>83</v>
      </c>
      <c r="J29" s="28" t="s">
        <v>95</v>
      </c>
      <c r="K29" s="10">
        <v>6</v>
      </c>
      <c r="L29" s="47">
        <f t="shared" si="7"/>
        <v>101252.94186124044</v>
      </c>
      <c r="M29" s="10">
        <f t="shared" si="0"/>
        <v>1.0125294186124043</v>
      </c>
      <c r="N29" s="10" t="s">
        <v>15</v>
      </c>
      <c r="O29" s="10">
        <f>_xll.HumidairTdbRHPsi(H29,I29,M29,N29)</f>
        <v>8.292403309775799E-3</v>
      </c>
      <c r="P29" s="49">
        <f t="shared" si="1"/>
        <v>8.2924033097757999</v>
      </c>
      <c r="Q29" s="53"/>
      <c r="R29" s="58">
        <v>8.2924033097757999</v>
      </c>
      <c r="S29" s="54"/>
      <c r="T29" s="82">
        <v>18</v>
      </c>
      <c r="U29" s="10" t="s">
        <v>144</v>
      </c>
      <c r="V29" s="78">
        <f>_xll.HumidairTdbRHPsi(H29, I29,M29,U29)</f>
        <v>11.161891929594333</v>
      </c>
      <c r="W29" s="79">
        <v>11.161891929594333</v>
      </c>
      <c r="X29" s="54"/>
      <c r="Y29" s="82">
        <v>18</v>
      </c>
      <c r="Z29" s="10" t="s">
        <v>145</v>
      </c>
      <c r="AA29" s="78">
        <f>_xll.HumidairTdbRHPsi(H29,I29,M29,Z29)</f>
        <v>35.027904425817027</v>
      </c>
      <c r="AB29" s="78">
        <f t="shared" si="8"/>
        <v>72.027904425817027</v>
      </c>
      <c r="AC29" s="80">
        <v>72.027904425817027</v>
      </c>
      <c r="AE29" s="10" t="s">
        <v>146</v>
      </c>
      <c r="AF29" s="78">
        <f>_xll.HumidairTdbRHPsi(H29,I29,M29,AE29)</f>
        <v>14.083600017111193</v>
      </c>
      <c r="AG29" s="81">
        <f t="shared" si="9"/>
        <v>51.083600017111195</v>
      </c>
      <c r="AH29" s="80">
        <v>51.083600017111195</v>
      </c>
      <c r="AJ29" s="10" t="s">
        <v>150</v>
      </c>
      <c r="AK29" s="84">
        <f>_xll.HumidairTdbRHPsi(H29,I29,M29,AJ29)</f>
        <v>0.81373865595578376</v>
      </c>
      <c r="AL29" s="58">
        <v>0.81373865595578376</v>
      </c>
      <c r="AN29" s="48">
        <f t="shared" si="10"/>
        <v>0.52203971516066183</v>
      </c>
      <c r="AO29" s="81">
        <f t="shared" si="11"/>
        <v>15.884621550725786</v>
      </c>
      <c r="AP29" s="81">
        <f t="shared" si="12"/>
        <v>38.801946572250003</v>
      </c>
      <c r="AR29" s="58">
        <v>0.52203971516066183</v>
      </c>
      <c r="AS29" s="80">
        <v>15.884621550725786</v>
      </c>
      <c r="AT29" s="80">
        <v>38.801946572250003</v>
      </c>
      <c r="AU29" s="85"/>
      <c r="AV29" s="49">
        <f t="shared" si="2"/>
        <v>0.11296028483933818</v>
      </c>
      <c r="AW29" s="162">
        <f t="shared" si="3"/>
        <v>1.1296028483933818E-4</v>
      </c>
      <c r="AX29" s="10">
        <f t="shared" si="4"/>
        <v>51</v>
      </c>
      <c r="AY29" s="55">
        <f t="shared" si="5"/>
        <v>4.7988917808296037E-3</v>
      </c>
      <c r="AZ29" s="55">
        <f t="shared" si="6"/>
        <v>2.8179047450555511E-3</v>
      </c>
      <c r="BA29" s="153"/>
      <c r="BB29" s="58">
        <v>0.11296028483933818</v>
      </c>
      <c r="BC29" s="167">
        <v>1.1296028483933818E-4</v>
      </c>
      <c r="BD29" s="168">
        <v>51</v>
      </c>
      <c r="BE29" s="170">
        <v>4.7988917808296037E-3</v>
      </c>
      <c r="BF29" s="171">
        <v>2.8179047450555511E-3</v>
      </c>
      <c r="BH29" s="81">
        <f t="shared" si="13"/>
        <v>343.64189123961677</v>
      </c>
      <c r="BI29" s="80">
        <v>343.64189123961677</v>
      </c>
      <c r="BK29" s="81">
        <f t="shared" si="14"/>
        <v>72.027904425817027</v>
      </c>
      <c r="BL29" s="81">
        <f t="shared" si="15"/>
        <v>51.083600017111195</v>
      </c>
      <c r="BM29" s="81">
        <f t="shared" si="16"/>
        <v>20.944304408705833</v>
      </c>
      <c r="BN29" s="192">
        <f t="shared" si="17"/>
        <v>0.29078042150007</v>
      </c>
      <c r="BO29" s="81">
        <f t="shared" si="18"/>
        <v>51</v>
      </c>
      <c r="BP29" s="49">
        <f t="shared" si="19"/>
        <v>14.82980149650357</v>
      </c>
      <c r="BQ29" s="82">
        <f t="shared" si="20"/>
        <v>5262.7050373241846</v>
      </c>
      <c r="BS29" s="193">
        <v>5262.7050373241846</v>
      </c>
    </row>
    <row r="30" spans="1:71" x14ac:dyDescent="0.25">
      <c r="A30" s="5">
        <v>19</v>
      </c>
      <c r="B30" s="14"/>
      <c r="C30" s="15" t="s">
        <v>65</v>
      </c>
      <c r="D30" s="16" t="s">
        <v>66</v>
      </c>
      <c r="E30" s="4" t="s">
        <v>67</v>
      </c>
      <c r="F30" s="33">
        <v>44275</v>
      </c>
      <c r="G30" s="29">
        <v>0.2298611111111111</v>
      </c>
      <c r="H30" s="28">
        <v>3</v>
      </c>
      <c r="I30" s="28">
        <v>73</v>
      </c>
      <c r="J30" s="151" t="s">
        <v>88</v>
      </c>
      <c r="K30" s="10">
        <v>15</v>
      </c>
      <c r="L30" s="47">
        <f t="shared" si="7"/>
        <v>101144.93246061618</v>
      </c>
      <c r="M30" s="10">
        <f t="shared" si="0"/>
        <v>1.0114493246061618</v>
      </c>
      <c r="N30" s="10" t="s">
        <v>15</v>
      </c>
      <c r="O30" s="10">
        <f>_xll.HumidairTdbRHPsi(H30,I30,M30,N30)</f>
        <v>3.4350725171446808E-3</v>
      </c>
      <c r="P30" s="49">
        <f t="shared" si="1"/>
        <v>3.4350725171446808</v>
      </c>
      <c r="Q30" s="53"/>
      <c r="R30" s="58">
        <v>3.4350725171446808</v>
      </c>
      <c r="S30" s="54"/>
      <c r="T30" s="82">
        <v>19</v>
      </c>
      <c r="U30" s="10" t="s">
        <v>144</v>
      </c>
      <c r="V30" s="78">
        <f>_xll.HumidairTdbRHPsi(H30, I30,M30,U30)</f>
        <v>-1.2021758056882277</v>
      </c>
      <c r="W30" s="79">
        <v>-1.2021758056882277</v>
      </c>
      <c r="X30" s="54"/>
      <c r="Y30" s="82">
        <v>19</v>
      </c>
      <c r="Z30" s="10" t="s">
        <v>145</v>
      </c>
      <c r="AA30" s="78">
        <f>_xll.HumidairTdbRHPsi(H30,I30,M30,Z30)</f>
        <v>11.624638901706877</v>
      </c>
      <c r="AB30" s="78">
        <f t="shared" si="8"/>
        <v>48.624638901706874</v>
      </c>
      <c r="AC30" s="80">
        <v>48.624638901706874</v>
      </c>
      <c r="AE30" s="10" t="s">
        <v>146</v>
      </c>
      <c r="AF30" s="78">
        <f>_xll.HumidairTdbRHPsi(H30,I30,M30,AE30)</f>
        <v>3.01804962212965</v>
      </c>
      <c r="AG30" s="81">
        <f t="shared" si="9"/>
        <v>40.018049622129652</v>
      </c>
      <c r="AH30" s="80">
        <v>40.018049622129652</v>
      </c>
      <c r="AJ30" s="10" t="s">
        <v>150</v>
      </c>
      <c r="AK30" s="84">
        <f>_xll.HumidairTdbRHPsi(H30,I30,M30,AJ30)</f>
        <v>0.78330263300624492</v>
      </c>
      <c r="AL30" s="58">
        <v>0.78330263300624492</v>
      </c>
      <c r="AN30" s="48">
        <f t="shared" si="10"/>
        <v>0.54232410089063288</v>
      </c>
      <c r="AO30" s="81">
        <f t="shared" si="11"/>
        <v>6.3339846256204098</v>
      </c>
      <c r="AP30" s="81">
        <f t="shared" si="12"/>
        <v>15.472256121931121</v>
      </c>
      <c r="AR30" s="58">
        <v>0.54232410089063288</v>
      </c>
      <c r="AS30" s="80">
        <v>6.3339846256204098</v>
      </c>
      <c r="AT30" s="80">
        <v>15.472256121931121</v>
      </c>
      <c r="AU30" s="85"/>
      <c r="AV30" s="49">
        <f t="shared" si="2"/>
        <v>9.2675899109367132E-2</v>
      </c>
      <c r="AW30" s="162">
        <f t="shared" si="3"/>
        <v>9.2675899109367134E-5</v>
      </c>
      <c r="AX30" s="10">
        <f t="shared" si="4"/>
        <v>40</v>
      </c>
      <c r="AY30" s="55">
        <f t="shared" si="5"/>
        <v>3.0879609583241126E-3</v>
      </c>
      <c r="AZ30" s="55">
        <f t="shared" si="6"/>
        <v>1.8132477735314813E-3</v>
      </c>
      <c r="BA30" s="153"/>
      <c r="BB30" s="58">
        <v>9.2675899109367132E-2</v>
      </c>
      <c r="BC30" s="167">
        <v>9.2675899109367134E-5</v>
      </c>
      <c r="BD30" s="168">
        <v>40</v>
      </c>
      <c r="BE30" s="170">
        <v>3.0879609583241126E-3</v>
      </c>
      <c r="BF30" s="171">
        <v>1.8132477735314813E-3</v>
      </c>
      <c r="BH30" s="81">
        <f t="shared" si="13"/>
        <v>356.99444751540869</v>
      </c>
      <c r="BI30" s="80">
        <v>356.99444751540869</v>
      </c>
      <c r="BK30" s="81">
        <f t="shared" si="14"/>
        <v>48.624638901706874</v>
      </c>
      <c r="BL30" s="81">
        <f t="shared" si="15"/>
        <v>40.018049622129652</v>
      </c>
      <c r="BM30" s="81">
        <f t="shared" si="16"/>
        <v>8.6065892795772214</v>
      </c>
      <c r="BN30" s="192">
        <f t="shared" si="17"/>
        <v>0.17700057982898673</v>
      </c>
      <c r="BO30" s="81">
        <f t="shared" si="18"/>
        <v>40</v>
      </c>
      <c r="BP30" s="49">
        <f t="shared" si="19"/>
        <v>7.0800231931594695</v>
      </c>
      <c r="BQ30" s="82">
        <f t="shared" si="20"/>
        <v>3904.608788996562</v>
      </c>
      <c r="BS30" s="193">
        <v>3904.608788996562</v>
      </c>
    </row>
    <row r="31" spans="1:71" x14ac:dyDescent="0.25">
      <c r="A31" s="5">
        <v>20</v>
      </c>
      <c r="B31" s="17" t="s">
        <v>68</v>
      </c>
      <c r="C31" s="9" t="s">
        <v>69</v>
      </c>
      <c r="D31" s="10" t="s">
        <v>70</v>
      </c>
      <c r="E31" s="18" t="s">
        <v>71</v>
      </c>
      <c r="F31" s="33">
        <v>44275</v>
      </c>
      <c r="G31" s="29">
        <v>0.89513888888888893</v>
      </c>
      <c r="H31" s="28">
        <v>-23</v>
      </c>
      <c r="I31" s="28">
        <v>71</v>
      </c>
      <c r="J31" s="151" t="s">
        <v>102</v>
      </c>
      <c r="K31" s="10">
        <v>10</v>
      </c>
      <c r="L31" s="47">
        <f t="shared" si="7"/>
        <v>101204.92615896827</v>
      </c>
      <c r="M31" s="10">
        <f t="shared" si="0"/>
        <v>1.0120492615896828</v>
      </c>
      <c r="N31" s="10" t="s">
        <v>15</v>
      </c>
      <c r="O31" s="10">
        <f>_xll.HumidairTdbRHPsi(H31,I31,M31,N31)</f>
        <v>3.3837561545009808E-4</v>
      </c>
      <c r="P31" s="49">
        <f t="shared" si="1"/>
        <v>0.33837561545009809</v>
      </c>
      <c r="Q31" s="53"/>
      <c r="R31" s="58">
        <v>0.33837561545009809</v>
      </c>
      <c r="S31" s="54"/>
      <c r="T31" s="82">
        <v>20</v>
      </c>
      <c r="U31" s="10" t="s">
        <v>144</v>
      </c>
      <c r="V31" s="78">
        <f>_xll.HumidairTdbRHPsi(H31, I31,M31,U31)</f>
        <v>-26.437647979318115</v>
      </c>
      <c r="W31" s="80">
        <v>-26.437647979318115</v>
      </c>
      <c r="X31" s="54"/>
      <c r="Y31" s="82">
        <v>20</v>
      </c>
      <c r="Z31" s="10" t="s">
        <v>145</v>
      </c>
      <c r="AA31" s="78">
        <f>_xll.HumidairTdbRHPsi(H31,I31,M31,Z31)</f>
        <v>-22.299900420126317</v>
      </c>
      <c r="AB31" s="78">
        <f t="shared" si="8"/>
        <v>14.700099579873683</v>
      </c>
      <c r="AC31" s="80">
        <v>14.700099579873683</v>
      </c>
      <c r="AE31" s="10" t="s">
        <v>146</v>
      </c>
      <c r="AF31" s="78">
        <f>_xll.HumidairTdbRHPsi(H31,I31,M31,AE31)</f>
        <v>-23.131400562398774</v>
      </c>
      <c r="AG31" s="81">
        <f t="shared" si="9"/>
        <v>13.868599437601226</v>
      </c>
      <c r="AH31" s="80">
        <v>13.868599437601226</v>
      </c>
      <c r="AJ31" s="10" t="s">
        <v>150</v>
      </c>
      <c r="AK31" s="84">
        <f>_xll.HumidairTdbRHPsi(H31,I31,M31,AJ31)</f>
        <v>0.70884970454686824</v>
      </c>
      <c r="AL31" s="58">
        <v>0.70884970454686824</v>
      </c>
      <c r="AN31" s="48">
        <f t="shared" si="10"/>
        <v>0.59928627104660037</v>
      </c>
      <c r="AO31" s="81">
        <f t="shared" si="11"/>
        <v>0.56463101492239265</v>
      </c>
      <c r="AP31" s="81">
        <f t="shared" si="12"/>
        <v>1.3792448503787573</v>
      </c>
      <c r="AR31" s="58">
        <v>0.59928627104660037</v>
      </c>
      <c r="AS31" s="80">
        <v>0.56463101492239265</v>
      </c>
      <c r="AT31" s="80">
        <v>1.3792448503787573</v>
      </c>
      <c r="AU31" s="85"/>
      <c r="AV31" s="49">
        <f t="shared" si="2"/>
        <v>3.5713728953399637E-2</v>
      </c>
      <c r="AW31" s="162">
        <f t="shared" si="3"/>
        <v>3.5713728953399638E-5</v>
      </c>
      <c r="AX31" s="10">
        <f t="shared" si="4"/>
        <v>14</v>
      </c>
      <c r="AY31" s="55">
        <f t="shared" si="5"/>
        <v>4.1649350705454656E-4</v>
      </c>
      <c r="AZ31" s="55">
        <f t="shared" si="6"/>
        <v>2.4456459603907607E-4</v>
      </c>
      <c r="BA31" s="153"/>
      <c r="BB31" s="58">
        <v>3.5713728953399637E-2</v>
      </c>
      <c r="BC31" s="167">
        <v>3.5713728953399638E-5</v>
      </c>
      <c r="BD31" s="168">
        <v>14</v>
      </c>
      <c r="BE31" s="170">
        <v>4.1649350705454656E-4</v>
      </c>
      <c r="BF31" s="171">
        <v>2.4456459603907607E-4</v>
      </c>
      <c r="BH31" s="81">
        <f t="shared" si="13"/>
        <v>394.49080519288026</v>
      </c>
      <c r="BI31" s="80">
        <v>394.49080519288026</v>
      </c>
      <c r="BK31" s="81"/>
      <c r="BL31" s="81"/>
      <c r="BM31" s="81"/>
      <c r="BN31" s="192"/>
      <c r="BO31" s="81"/>
      <c r="BP31" s="49"/>
      <c r="BQ31" s="82"/>
      <c r="BS31" s="170"/>
    </row>
    <row r="32" spans="1:71" x14ac:dyDescent="0.25">
      <c r="F32" s="149"/>
      <c r="G32" s="150"/>
      <c r="H32" s="4"/>
      <c r="I32" s="4"/>
      <c r="P32" s="31"/>
      <c r="Q32" s="31"/>
      <c r="AN32" s="4" t="s">
        <v>230</v>
      </c>
      <c r="AZ32" s="23"/>
    </row>
    <row r="33" spans="1:73" x14ac:dyDescent="0.25">
      <c r="P33" s="31"/>
      <c r="Q33" s="31"/>
      <c r="AH33" s="197"/>
      <c r="AK33" s="86" t="s">
        <v>152</v>
      </c>
      <c r="AN33" s="4">
        <v>418.24</v>
      </c>
      <c r="AO33" s="139" t="s">
        <v>231</v>
      </c>
      <c r="AX33" s="4" t="s">
        <v>192</v>
      </c>
      <c r="AY33" s="27" t="s">
        <v>271</v>
      </c>
      <c r="AZ33" s="86" t="s">
        <v>152</v>
      </c>
      <c r="BD33" s="70" t="s">
        <v>192</v>
      </c>
      <c r="BE33" s="70" t="s">
        <v>271</v>
      </c>
      <c r="BF33" s="83"/>
      <c r="BH33" s="27" t="s">
        <v>233</v>
      </c>
      <c r="BI33" s="70" t="s">
        <v>233</v>
      </c>
      <c r="BK33" s="37" t="s">
        <v>96</v>
      </c>
      <c r="BQ33" s="4"/>
      <c r="BS33" s="83"/>
    </row>
    <row r="34" spans="1:73" x14ac:dyDescent="0.25">
      <c r="K34" s="2"/>
      <c r="M34" s="30"/>
      <c r="N34" s="25"/>
      <c r="O34" s="25"/>
      <c r="R34" s="64" t="s">
        <v>96</v>
      </c>
      <c r="T34" s="69"/>
      <c r="Y34" t="s">
        <v>166</v>
      </c>
      <c r="AB34" s="4"/>
      <c r="AG34" s="4"/>
      <c r="AH34" s="57"/>
      <c r="AK34" s="26" t="s">
        <v>192</v>
      </c>
      <c r="AL34" s="70" t="s">
        <v>192</v>
      </c>
      <c r="AM34" s="57"/>
      <c r="AN34" s="4"/>
      <c r="AO34" s="139" t="s">
        <v>176</v>
      </c>
      <c r="AX34" s="4" t="s">
        <v>193</v>
      </c>
      <c r="AY34" s="16" t="s">
        <v>193</v>
      </c>
      <c r="BA34" s="57"/>
      <c r="BD34" s="72" t="s">
        <v>193</v>
      </c>
      <c r="BE34" s="72" t="s">
        <v>193</v>
      </c>
      <c r="BF34" s="83"/>
      <c r="BH34" s="16" t="s">
        <v>255</v>
      </c>
      <c r="BI34" s="72" t="s">
        <v>255</v>
      </c>
      <c r="BQ34" s="27" t="s">
        <v>306</v>
      </c>
      <c r="BS34" s="70" t="s">
        <v>306</v>
      </c>
    </row>
    <row r="35" spans="1:73" x14ac:dyDescent="0.25">
      <c r="B35" s="37" t="s">
        <v>96</v>
      </c>
      <c r="E35" s="3"/>
      <c r="F35" s="4"/>
      <c r="G35" s="3"/>
      <c r="P35" s="27" t="s">
        <v>72</v>
      </c>
      <c r="R35" s="70" t="s">
        <v>72</v>
      </c>
      <c r="T35" t="s">
        <v>140</v>
      </c>
      <c r="AA35" s="71" t="s">
        <v>134</v>
      </c>
      <c r="AB35" s="27" t="s">
        <v>300</v>
      </c>
      <c r="AC35" s="70" t="s">
        <v>300</v>
      </c>
      <c r="AF35" s="71" t="s">
        <v>134</v>
      </c>
      <c r="AG35" s="27" t="s">
        <v>314</v>
      </c>
      <c r="AH35" s="70" t="s">
        <v>314</v>
      </c>
      <c r="AK35" s="15" t="s">
        <v>147</v>
      </c>
      <c r="AL35" s="72" t="s">
        <v>147</v>
      </c>
      <c r="AM35" s="57"/>
      <c r="AN35" s="4">
        <v>1.8405999999999999E-2</v>
      </c>
      <c r="AO35" t="s">
        <v>232</v>
      </c>
      <c r="AQ35" t="s">
        <v>187</v>
      </c>
      <c r="AS35" s="176" t="s">
        <v>315</v>
      </c>
      <c r="AT35" s="87" t="s">
        <v>317</v>
      </c>
      <c r="AV35" s="163" t="s">
        <v>270</v>
      </c>
      <c r="AX35" s="4">
        <v>0.83299999999999996</v>
      </c>
      <c r="AY35" s="16" t="s">
        <v>272</v>
      </c>
      <c r="AZ35" s="27" t="s">
        <v>274</v>
      </c>
      <c r="BB35" s="70" t="s">
        <v>270</v>
      </c>
      <c r="BD35" s="72">
        <v>0.83299999999999996</v>
      </c>
      <c r="BE35" s="72" t="s">
        <v>272</v>
      </c>
      <c r="BF35" s="70" t="s">
        <v>274</v>
      </c>
      <c r="BH35" s="16" t="s">
        <v>282</v>
      </c>
      <c r="BI35" s="72" t="s">
        <v>282</v>
      </c>
      <c r="BK35" s="27" t="s">
        <v>297</v>
      </c>
      <c r="BL35" s="27" t="s">
        <v>299</v>
      </c>
      <c r="BM35" s="26" t="s">
        <v>301</v>
      </c>
      <c r="BO35" s="163" t="s">
        <v>304</v>
      </c>
      <c r="BQ35" s="16" t="s">
        <v>291</v>
      </c>
      <c r="BS35" s="72" t="s">
        <v>291</v>
      </c>
    </row>
    <row r="36" spans="1:73" x14ac:dyDescent="0.25">
      <c r="K36" s="4" t="s">
        <v>1</v>
      </c>
      <c r="L36" s="4" t="s">
        <v>2</v>
      </c>
      <c r="O36" s="4" t="s">
        <v>72</v>
      </c>
      <c r="P36" s="16" t="s">
        <v>81</v>
      </c>
      <c r="Q36" s="4"/>
      <c r="R36" s="72" t="s">
        <v>81</v>
      </c>
      <c r="V36" s="26" t="s">
        <v>310</v>
      </c>
      <c r="W36" s="87" t="s">
        <v>310</v>
      </c>
      <c r="AA36" s="73" t="s">
        <v>141</v>
      </c>
      <c r="AB36" s="16" t="s">
        <v>141</v>
      </c>
      <c r="AC36" s="72" t="s">
        <v>141</v>
      </c>
      <c r="AF36" s="42" t="s">
        <v>141</v>
      </c>
      <c r="AG36" s="16" t="s">
        <v>141</v>
      </c>
      <c r="AH36" s="72" t="s">
        <v>141</v>
      </c>
      <c r="AK36" s="15" t="s">
        <v>148</v>
      </c>
      <c r="AL36" s="72" t="s">
        <v>148</v>
      </c>
      <c r="AM36" s="83"/>
      <c r="AN36" s="27" t="s">
        <v>235</v>
      </c>
      <c r="AO36" s="27" t="s">
        <v>233</v>
      </c>
      <c r="AP36" s="27" t="s">
        <v>233</v>
      </c>
      <c r="AR36" s="176" t="s">
        <v>320</v>
      </c>
      <c r="AS36" s="199" t="s">
        <v>316</v>
      </c>
      <c r="AT36" s="72" t="s">
        <v>318</v>
      </c>
      <c r="AV36" s="73" t="s">
        <v>275</v>
      </c>
      <c r="AW36" s="163" t="s">
        <v>270</v>
      </c>
      <c r="AY36" s="16" t="s">
        <v>251</v>
      </c>
      <c r="AZ36" s="16">
        <v>1.7030000000000001</v>
      </c>
      <c r="BB36" s="72" t="s">
        <v>275</v>
      </c>
      <c r="BC36" s="176" t="s">
        <v>270</v>
      </c>
      <c r="BD36" s="74"/>
      <c r="BE36" s="72" t="s">
        <v>251</v>
      </c>
      <c r="BF36" s="72">
        <v>1.7030000000000001</v>
      </c>
      <c r="BH36" s="173" t="s">
        <v>187</v>
      </c>
      <c r="BI36" s="72" t="s">
        <v>187</v>
      </c>
      <c r="BK36" s="16" t="s">
        <v>298</v>
      </c>
      <c r="BL36" s="16" t="s">
        <v>298</v>
      </c>
      <c r="BM36" s="16" t="s">
        <v>300</v>
      </c>
      <c r="BO36" s="16" t="s">
        <v>303</v>
      </c>
      <c r="BP36" s="161" t="s">
        <v>296</v>
      </c>
      <c r="BQ36" s="16" t="s">
        <v>292</v>
      </c>
      <c r="BS36" s="72" t="s">
        <v>292</v>
      </c>
    </row>
    <row r="37" spans="1:73" ht="17.25" x14ac:dyDescent="0.25">
      <c r="A37" s="5"/>
      <c r="B37" s="5"/>
      <c r="C37" t="s">
        <v>3</v>
      </c>
      <c r="D37" t="s">
        <v>4</v>
      </c>
      <c r="E37" t="s">
        <v>5</v>
      </c>
      <c r="F37" s="4" t="s">
        <v>6</v>
      </c>
      <c r="G37" s="6" t="s">
        <v>7</v>
      </c>
      <c r="H37" s="4" t="s">
        <v>98</v>
      </c>
      <c r="I37" s="4" t="s">
        <v>99</v>
      </c>
      <c r="J37" s="4" t="s">
        <v>74</v>
      </c>
      <c r="K37" s="7" t="s">
        <v>163</v>
      </c>
      <c r="L37" s="7" t="s">
        <v>8</v>
      </c>
      <c r="M37" s="4" t="s">
        <v>9</v>
      </c>
      <c r="N37" s="4" t="s">
        <v>10</v>
      </c>
      <c r="O37" s="4" t="s">
        <v>11</v>
      </c>
      <c r="P37" s="13" t="s">
        <v>82</v>
      </c>
      <c r="Q37" s="4"/>
      <c r="R37" s="77" t="s">
        <v>82</v>
      </c>
      <c r="S37" s="4"/>
      <c r="T37" s="10" t="s">
        <v>142</v>
      </c>
      <c r="U37" s="18" t="s">
        <v>10</v>
      </c>
      <c r="V37" s="13" t="s">
        <v>273</v>
      </c>
      <c r="W37" s="77" t="s">
        <v>311</v>
      </c>
      <c r="X37" s="4"/>
      <c r="Y37" s="27" t="s">
        <v>142</v>
      </c>
      <c r="Z37" s="11" t="s">
        <v>10</v>
      </c>
      <c r="AA37" s="76" t="s">
        <v>143</v>
      </c>
      <c r="AB37" s="13" t="s">
        <v>312</v>
      </c>
      <c r="AC37" s="72" t="s">
        <v>312</v>
      </c>
      <c r="AE37" s="9" t="s">
        <v>10</v>
      </c>
      <c r="AF37" s="76" t="s">
        <v>82</v>
      </c>
      <c r="AG37" s="13" t="s">
        <v>313</v>
      </c>
      <c r="AH37" s="77" t="s">
        <v>313</v>
      </c>
      <c r="AJ37" s="32" t="s">
        <v>10</v>
      </c>
      <c r="AK37" s="12" t="s">
        <v>149</v>
      </c>
      <c r="AL37" s="77" t="s">
        <v>149</v>
      </c>
      <c r="AM37" s="57"/>
      <c r="AN37" s="13" t="s">
        <v>230</v>
      </c>
      <c r="AO37" s="13" t="s">
        <v>177</v>
      </c>
      <c r="AP37" s="13" t="s">
        <v>234</v>
      </c>
      <c r="AR37" s="177" t="s">
        <v>321</v>
      </c>
      <c r="AS37" s="177" t="s">
        <v>232</v>
      </c>
      <c r="AT37" s="77" t="s">
        <v>319</v>
      </c>
      <c r="AV37" s="166" t="s">
        <v>149</v>
      </c>
      <c r="AW37" s="13" t="s">
        <v>276</v>
      </c>
      <c r="AX37" s="164" t="s">
        <v>186</v>
      </c>
      <c r="AY37" s="13" t="s">
        <v>82</v>
      </c>
      <c r="AZ37" s="13" t="s">
        <v>273</v>
      </c>
      <c r="BB37" s="77" t="s">
        <v>149</v>
      </c>
      <c r="BC37" s="177" t="s">
        <v>276</v>
      </c>
      <c r="BD37" s="77" t="s">
        <v>186</v>
      </c>
      <c r="BE37" s="77" t="s">
        <v>82</v>
      </c>
      <c r="BF37" s="77" t="s">
        <v>277</v>
      </c>
      <c r="BH37" s="13">
        <v>418</v>
      </c>
      <c r="BI37" s="77">
        <v>418</v>
      </c>
      <c r="BK37" s="13" t="s">
        <v>250</v>
      </c>
      <c r="BL37" s="13" t="s">
        <v>250</v>
      </c>
      <c r="BM37" s="13" t="s">
        <v>295</v>
      </c>
      <c r="BN37" s="18" t="s">
        <v>302</v>
      </c>
      <c r="BO37" s="13" t="s">
        <v>189</v>
      </c>
      <c r="BP37" s="76" t="s">
        <v>277</v>
      </c>
      <c r="BQ37" s="13" t="s">
        <v>305</v>
      </c>
      <c r="BS37" s="77" t="s">
        <v>305</v>
      </c>
    </row>
    <row r="38" spans="1:73" x14ac:dyDescent="0.25">
      <c r="A38">
        <v>1</v>
      </c>
      <c r="C38" s="9" t="s">
        <v>12</v>
      </c>
      <c r="D38" s="10" t="s">
        <v>13</v>
      </c>
      <c r="E38" s="32" t="s">
        <v>14</v>
      </c>
      <c r="F38" s="33">
        <v>44307</v>
      </c>
      <c r="G38" s="29">
        <v>3.7499999999999999E-2</v>
      </c>
      <c r="H38" s="28">
        <v>-18</v>
      </c>
      <c r="I38" s="28">
        <v>77</v>
      </c>
      <c r="J38" s="28" t="s">
        <v>89</v>
      </c>
      <c r="K38" s="10">
        <v>32</v>
      </c>
      <c r="L38" s="47">
        <f>+((101325*(1-(2.25577*10^-5)*(K38))^5.25588))</f>
        <v>100941.16925190832</v>
      </c>
      <c r="M38" s="10">
        <f t="shared" ref="M38:M57" si="21">+L38/100000</f>
        <v>1.0094116925190832</v>
      </c>
      <c r="N38" s="10" t="s">
        <v>15</v>
      </c>
      <c r="O38" s="10">
        <f>_xll.HumidairTdbRHPsi(H38,I38,M38,N38)</f>
        <v>5.9582012379791121E-4</v>
      </c>
      <c r="P38" s="49">
        <f t="shared" ref="P38:P57" si="22">+O38*1000</f>
        <v>0.59582012379791116</v>
      </c>
      <c r="Q38" s="31"/>
      <c r="R38" s="58">
        <v>0.59582012379791116</v>
      </c>
      <c r="S38" s="4"/>
      <c r="T38" s="10">
        <v>1</v>
      </c>
      <c r="U38" s="10" t="s">
        <v>144</v>
      </c>
      <c r="V38" s="78">
        <f>_xll.HumidairTdbRHPsi(H38, I38,M38,U38)</f>
        <v>-20.737843964977316</v>
      </c>
      <c r="W38" s="79">
        <v>-20.737843964977316</v>
      </c>
      <c r="X38" s="4"/>
      <c r="Y38" s="16">
        <v>1</v>
      </c>
      <c r="Z38" s="88" t="s">
        <v>145</v>
      </c>
      <c r="AA38" s="78">
        <f>_xll.HumidairTdbRHPsi(H38,I38,M38,Z38)</f>
        <v>-16.632460457365259</v>
      </c>
      <c r="AB38" s="78">
        <f>+AA38+37</f>
        <v>20.367539542634741</v>
      </c>
      <c r="AC38" s="80">
        <v>20.367539542634741</v>
      </c>
      <c r="AE38" s="10" t="s">
        <v>146</v>
      </c>
      <c r="AF38" s="78">
        <f>_xll.HumidairTdbRHPsi(H38,I38,M38,AE38)</f>
        <v>-18.102116576813366</v>
      </c>
      <c r="AG38" s="78">
        <f>+AF38+37.2</f>
        <v>19.097883423186637</v>
      </c>
      <c r="AH38" s="79">
        <f>+AF38+37.2</f>
        <v>19.097883423186637</v>
      </c>
      <c r="AJ38" s="10" t="s">
        <v>150</v>
      </c>
      <c r="AK38" s="84">
        <f>_xll.HumidairTdbRHPsi(H38,I38,M38,AJ38)</f>
        <v>0.72497392889310353</v>
      </c>
      <c r="AL38" s="58">
        <v>0.72497392889310353</v>
      </c>
      <c r="AM38" s="85"/>
      <c r="AN38" s="49">
        <f t="shared" ref="AN38:AN57" si="23">+$AN$6*($AL$57/AL38)</f>
        <v>0.58595747962822797</v>
      </c>
      <c r="AO38" s="81">
        <f t="shared" ref="AO38:AO57" si="24">+R38/AN38</f>
        <v>1.0168316721137185</v>
      </c>
      <c r="AP38" s="81">
        <f t="shared" ref="AP38:AP83" si="25">+AO38*(44.0059/18.015)</f>
        <v>2.4838519500343645</v>
      </c>
      <c r="AR38" s="58">
        <v>0.58595747962822797</v>
      </c>
      <c r="AS38" s="79">
        <v>1.0168316721137185</v>
      </c>
      <c r="AT38" s="79">
        <v>2.4838519500343645</v>
      </c>
      <c r="AU38" s="140"/>
      <c r="AV38" s="84">
        <f t="shared" ref="AV38:AV57" si="26">+$AN$57-AN38</f>
        <v>4.9042520371772036E-2</v>
      </c>
      <c r="AW38" s="165">
        <f t="shared" ref="AW38:AW57" si="27">+AV38/1000</f>
        <v>4.9042520371772035E-5</v>
      </c>
      <c r="AX38" s="10">
        <f t="shared" ref="AX38:AX57" si="28">37+H38</f>
        <v>19</v>
      </c>
      <c r="AY38" s="55">
        <f t="shared" ref="AY38:AY57" si="29">+AW38*AX38*$AX$9</f>
        <v>7.7619596992403598E-4</v>
      </c>
      <c r="AZ38" s="55">
        <f t="shared" ref="AZ38:AZ57" si="30">+AY38/1.703</f>
        <v>4.5578154428892306E-4</v>
      </c>
      <c r="BB38" s="58">
        <v>4.9042520371772036E-2</v>
      </c>
      <c r="BC38" s="167">
        <v>4.9042520371772035E-5</v>
      </c>
      <c r="BD38" s="168">
        <v>19</v>
      </c>
      <c r="BE38" s="168">
        <v>7.7619596992403598E-4</v>
      </c>
      <c r="BF38" s="169">
        <v>4.5578154428892306E-4</v>
      </c>
      <c r="BH38" s="81">
        <f>418*($AL$57/AL38)</f>
        <v>385.71689210173116</v>
      </c>
      <c r="BI38" s="80">
        <v>385.71689210173116</v>
      </c>
      <c r="BK38" s="81">
        <f>+AB38</f>
        <v>20.367539542634741</v>
      </c>
      <c r="BL38" s="81">
        <f>+AG38</f>
        <v>19.097883423186637</v>
      </c>
      <c r="BM38" s="81">
        <f>+BK38-BL38</f>
        <v>1.2696561194481042</v>
      </c>
      <c r="BN38" s="192">
        <f>+BM38/BK38</f>
        <v>6.2337236011761374E-2</v>
      </c>
      <c r="BO38" s="81">
        <f>+H38-$H$57</f>
        <v>19</v>
      </c>
      <c r="BP38" s="49">
        <f>+BN38*BO38</f>
        <v>1.1844074842234662</v>
      </c>
      <c r="BQ38" s="82">
        <f>+BP38/AZ38</f>
        <v>2598.6297581910471</v>
      </c>
      <c r="BR38" s="23"/>
      <c r="BS38" s="195">
        <v>2598.6297581910471</v>
      </c>
      <c r="BU38" s="51"/>
    </row>
    <row r="39" spans="1:73" x14ac:dyDescent="0.25">
      <c r="A39">
        <v>2</v>
      </c>
      <c r="B39" s="1" t="s">
        <v>16</v>
      </c>
      <c r="C39" s="12" t="s">
        <v>17</v>
      </c>
      <c r="D39" s="13" t="s">
        <v>18</v>
      </c>
      <c r="E39" s="11" t="s">
        <v>19</v>
      </c>
      <c r="F39" s="33">
        <v>44308</v>
      </c>
      <c r="G39" s="29">
        <v>7.9166666666666663E-2</v>
      </c>
      <c r="H39" s="28">
        <v>-13</v>
      </c>
      <c r="I39" s="28">
        <v>79</v>
      </c>
      <c r="J39" s="28" t="s">
        <v>85</v>
      </c>
      <c r="K39" s="10">
        <v>41</v>
      </c>
      <c r="L39" s="47">
        <f t="shared" ref="L39:L57" si="31">+((101325*(1-(2.25577*10^-5)*(K39))^5.25588))</f>
        <v>100833.42925724134</v>
      </c>
      <c r="M39" s="10">
        <f t="shared" si="21"/>
        <v>1.0083342925724135</v>
      </c>
      <c r="N39" s="10" t="s">
        <v>15</v>
      </c>
      <c r="O39" s="10">
        <f>_xll.HumidairTdbRHPsi(H39,I39,M39,N39)</f>
        <v>9.7294631011947972E-4</v>
      </c>
      <c r="P39" s="49">
        <f t="shared" si="22"/>
        <v>0.97294631011947974</v>
      </c>
      <c r="Q39" s="31"/>
      <c r="R39" s="58">
        <v>0.97294631011947974</v>
      </c>
      <c r="S39" s="4"/>
      <c r="T39" s="10">
        <v>2</v>
      </c>
      <c r="U39" s="10" t="s">
        <v>144</v>
      </c>
      <c r="V39" s="78">
        <f>_xll.HumidairTdbRHPsi(H39, I39,M39,U39)</f>
        <v>-15.569496020882696</v>
      </c>
      <c r="W39" s="79">
        <v>-15.569496020882696</v>
      </c>
      <c r="X39" s="4"/>
      <c r="Y39" s="16">
        <v>2</v>
      </c>
      <c r="Z39" s="88" t="s">
        <v>145</v>
      </c>
      <c r="AA39" s="78">
        <f>_xll.HumidairTdbRHPsi(H39,I39,M39,Z39)</f>
        <v>-10.664445996857147</v>
      </c>
      <c r="AB39" s="81">
        <f t="shared" ref="AB39:AB57" si="32">+AA39+37</f>
        <v>26.335554003142853</v>
      </c>
      <c r="AC39" s="80">
        <v>26.335554003142853</v>
      </c>
      <c r="AE39" s="10" t="s">
        <v>146</v>
      </c>
      <c r="AF39" s="78">
        <f>_xll.HumidairTdbRHPsi(H39,I39,M39,AE39)</f>
        <v>-13.073347637302904</v>
      </c>
      <c r="AG39" s="78">
        <f t="shared" ref="AG39:AG57" si="33">+AF39+37.2</f>
        <v>24.126652362697101</v>
      </c>
      <c r="AH39" s="79">
        <f t="shared" ref="AH39:AH57" si="34">+AF39+37.2</f>
        <v>24.126652362697101</v>
      </c>
      <c r="AJ39" s="10" t="s">
        <v>150</v>
      </c>
      <c r="AK39" s="84">
        <f>_xll.HumidairTdbRHPsi(H39,I39,M39,AJ39)</f>
        <v>0.74003229671275972</v>
      </c>
      <c r="AL39" s="58">
        <v>0.74003229671275972</v>
      </c>
      <c r="AM39" s="85"/>
      <c r="AN39" s="49">
        <f t="shared" si="23"/>
        <v>0.57403426587915918</v>
      </c>
      <c r="AO39" s="81">
        <f t="shared" si="24"/>
        <v>1.6949272333583936</v>
      </c>
      <c r="AP39" s="81">
        <f t="shared" si="25"/>
        <v>4.1402608014680053</v>
      </c>
      <c r="AR39" s="58">
        <v>0.57403426587915918</v>
      </c>
      <c r="AS39" s="80">
        <v>1.6949272333583936</v>
      </c>
      <c r="AT39" s="80">
        <v>4.1402608014680053</v>
      </c>
      <c r="AU39" s="140"/>
      <c r="AV39" s="49">
        <f t="shared" si="26"/>
        <v>6.0965734120840831E-2</v>
      </c>
      <c r="AW39" s="162">
        <f t="shared" si="27"/>
        <v>6.0965734120840828E-5</v>
      </c>
      <c r="AX39" s="10">
        <f t="shared" si="28"/>
        <v>24</v>
      </c>
      <c r="AY39" s="55">
        <f t="shared" si="29"/>
        <v>1.2188269565438497E-3</v>
      </c>
      <c r="AZ39" s="55">
        <f t="shared" si="30"/>
        <v>7.1569404377207842E-4</v>
      </c>
      <c r="BB39" s="58">
        <v>6.0965734120840831E-2</v>
      </c>
      <c r="BC39" s="167">
        <v>6.0965734120840828E-5</v>
      </c>
      <c r="BD39" s="168">
        <v>24</v>
      </c>
      <c r="BE39" s="170">
        <v>1.2188269565438497E-3</v>
      </c>
      <c r="BF39" s="169">
        <v>7.1569404377207842E-4</v>
      </c>
      <c r="BH39" s="81">
        <f t="shared" ref="BH39:BH57" si="35">418*($AL$57/AL39)</f>
        <v>377.86822541336778</v>
      </c>
      <c r="BI39" s="80">
        <v>377.86822541336778</v>
      </c>
      <c r="BK39" s="81">
        <f t="shared" ref="BK39:BK56" si="36">+AB39</f>
        <v>26.335554003142853</v>
      </c>
      <c r="BL39" s="81">
        <f t="shared" ref="BL39:BL56" si="37">+AG39</f>
        <v>24.126652362697101</v>
      </c>
      <c r="BM39" s="81">
        <f t="shared" ref="BM39:BM56" si="38">+BK39-BL39</f>
        <v>2.2089016404457524</v>
      </c>
      <c r="BN39" s="192">
        <f t="shared" ref="BN39:BN56" si="39">+BM39/BK39</f>
        <v>8.3875267639410389E-2</v>
      </c>
      <c r="BO39" s="81">
        <f t="shared" ref="BO39:BO56" si="40">+H39-$H$57</f>
        <v>24</v>
      </c>
      <c r="BP39" s="49">
        <f t="shared" ref="BP39:BP56" si="41">+BN39*BO39</f>
        <v>2.0130064233458493</v>
      </c>
      <c r="BQ39" s="82">
        <f t="shared" ref="BQ39:BQ56" si="42">+BP39/AZ39</f>
        <v>2812.663373214988</v>
      </c>
      <c r="BR39" s="23"/>
      <c r="BS39" s="193">
        <v>2812.663373214988</v>
      </c>
      <c r="BU39" s="51"/>
    </row>
    <row r="40" spans="1:73" x14ac:dyDescent="0.25">
      <c r="A40">
        <v>3</v>
      </c>
      <c r="C40" s="12" t="s">
        <v>20</v>
      </c>
      <c r="D40" s="10" t="s">
        <v>21</v>
      </c>
      <c r="E40" s="11" t="s">
        <v>22</v>
      </c>
      <c r="F40" s="33">
        <v>44673</v>
      </c>
      <c r="G40" s="29">
        <v>0.7680555555555556</v>
      </c>
      <c r="H40" s="28">
        <v>9</v>
      </c>
      <c r="I40" s="28">
        <v>34</v>
      </c>
      <c r="J40" s="28" t="s">
        <v>90</v>
      </c>
      <c r="K40" s="10">
        <v>15</v>
      </c>
      <c r="L40" s="47">
        <f t="shared" si="31"/>
        <v>101144.93246061618</v>
      </c>
      <c r="M40" s="10">
        <f t="shared" si="21"/>
        <v>1.0114493246061618</v>
      </c>
      <c r="N40" s="10" t="s">
        <v>15</v>
      </c>
      <c r="O40" s="10">
        <f>_xll.HumidairTdbRHPsi(H40,I40,M40,N40)</f>
        <v>2.4192673133967171E-3</v>
      </c>
      <c r="P40" s="49">
        <f t="shared" si="22"/>
        <v>2.4192673133967171</v>
      </c>
      <c r="Q40" s="31"/>
      <c r="R40" s="58">
        <v>2.4192673133967171</v>
      </c>
      <c r="S40" s="4"/>
      <c r="T40" s="10">
        <v>3</v>
      </c>
      <c r="U40" s="10" t="s">
        <v>144</v>
      </c>
      <c r="V40" s="78">
        <f>_xll.HumidairTdbRHPsi(H40, I40,M40,U40)</f>
        <v>-5.3380861528725063</v>
      </c>
      <c r="W40" s="79">
        <v>-5.3380861528725063</v>
      </c>
      <c r="X40" s="4"/>
      <c r="Y40" s="16">
        <v>3</v>
      </c>
      <c r="Z40" s="88" t="s">
        <v>145</v>
      </c>
      <c r="AA40" s="78">
        <f>_xll.HumidairTdbRHPsi(H40,I40,M40,Z40)</f>
        <v>15.142519720960541</v>
      </c>
      <c r="AB40" s="81">
        <f t="shared" si="32"/>
        <v>52.142519720960543</v>
      </c>
      <c r="AC40" s="80">
        <v>52.142519720960543</v>
      </c>
      <c r="AE40" s="10" t="s">
        <v>146</v>
      </c>
      <c r="AF40" s="78">
        <f>_xll.HumidairTdbRHPsi(H40,I40,M40,AE40)</f>
        <v>9.0536311272999175</v>
      </c>
      <c r="AG40" s="78">
        <f t="shared" si="33"/>
        <v>46.253631127299919</v>
      </c>
      <c r="AH40" s="79">
        <f t="shared" si="34"/>
        <v>46.253631127299919</v>
      </c>
      <c r="AJ40" s="10" t="s">
        <v>150</v>
      </c>
      <c r="AK40" s="84">
        <f>_xll.HumidairTdbRHPsi(H40,I40,M40,AJ40)</f>
        <v>0.80037930191425866</v>
      </c>
      <c r="AL40" s="58">
        <v>0.80037930191425866</v>
      </c>
      <c r="AM40" s="85"/>
      <c r="AN40" s="49">
        <f t="shared" si="23"/>
        <v>0.53075322556989935</v>
      </c>
      <c r="AO40" s="81">
        <f t="shared" si="24"/>
        <v>4.5581773163959856</v>
      </c>
      <c r="AP40" s="81">
        <f t="shared" si="25"/>
        <v>11.134426598256457</v>
      </c>
      <c r="AR40" s="58">
        <v>0.53075322556989935</v>
      </c>
      <c r="AS40" s="80">
        <v>4.5581773163959856</v>
      </c>
      <c r="AT40" s="80">
        <v>11.134426598256457</v>
      </c>
      <c r="AU40" s="140"/>
      <c r="AV40" s="49">
        <f t="shared" si="26"/>
        <v>0.10424677443010066</v>
      </c>
      <c r="AW40" s="162">
        <f t="shared" si="27"/>
        <v>1.0424677443010066E-4</v>
      </c>
      <c r="AX40" s="10">
        <f t="shared" si="28"/>
        <v>46</v>
      </c>
      <c r="AY40" s="55">
        <f t="shared" si="29"/>
        <v>3.994527902612597E-3</v>
      </c>
      <c r="AZ40" s="55">
        <f t="shared" si="30"/>
        <v>2.3455830314812664E-3</v>
      </c>
      <c r="BB40" s="58">
        <v>0.10424677443010066</v>
      </c>
      <c r="BC40" s="167">
        <v>1.0424677443010066E-4</v>
      </c>
      <c r="BD40" s="168">
        <v>46</v>
      </c>
      <c r="BE40" s="170">
        <v>3.994527902612597E-3</v>
      </c>
      <c r="BF40" s="171">
        <v>2.3455830314812664E-3</v>
      </c>
      <c r="BH40" s="81">
        <f t="shared" si="35"/>
        <v>349.37771383971329</v>
      </c>
      <c r="BI40" s="80">
        <v>349.37771383971329</v>
      </c>
      <c r="BK40" s="81">
        <f t="shared" si="36"/>
        <v>52.142519720960543</v>
      </c>
      <c r="BL40" s="81">
        <f t="shared" si="37"/>
        <v>46.253631127299919</v>
      </c>
      <c r="BM40" s="81">
        <f t="shared" si="38"/>
        <v>5.8888885936606243</v>
      </c>
      <c r="BN40" s="192">
        <f t="shared" si="39"/>
        <v>0.11293832030317813</v>
      </c>
      <c r="BO40" s="81">
        <f t="shared" si="40"/>
        <v>46</v>
      </c>
      <c r="BP40" s="49">
        <f t="shared" si="41"/>
        <v>5.1951627339461943</v>
      </c>
      <c r="BQ40" s="82">
        <f t="shared" si="42"/>
        <v>2214.8705307888335</v>
      </c>
      <c r="BR40" s="23"/>
      <c r="BS40" s="193">
        <v>2214.8705307888335</v>
      </c>
      <c r="BU40" s="51"/>
    </row>
    <row r="41" spans="1:73" x14ac:dyDescent="0.25">
      <c r="A41" s="5">
        <v>4</v>
      </c>
      <c r="B41" s="14"/>
      <c r="C41" s="12" t="s">
        <v>23</v>
      </c>
      <c r="D41" s="10" t="s">
        <v>24</v>
      </c>
      <c r="E41" s="11" t="s">
        <v>25</v>
      </c>
      <c r="F41" s="33">
        <v>44307</v>
      </c>
      <c r="G41" s="29">
        <v>0.45347222222222222</v>
      </c>
      <c r="H41" s="28">
        <v>-8</v>
      </c>
      <c r="I41" s="28">
        <v>67</v>
      </c>
      <c r="J41" s="28" t="s">
        <v>86</v>
      </c>
      <c r="K41" s="10">
        <v>26</v>
      </c>
      <c r="L41" s="47">
        <f t="shared" si="31"/>
        <v>101013.04768769341</v>
      </c>
      <c r="M41" s="10">
        <f t="shared" si="21"/>
        <v>1.0101304768769341</v>
      </c>
      <c r="N41" s="10" t="s">
        <v>15</v>
      </c>
      <c r="O41" s="10">
        <f>_xll.HumidairTdbRHPsi(H41,I41,M41,N41)</f>
        <v>1.2867149327518413E-3</v>
      </c>
      <c r="P41" s="49">
        <f t="shared" si="22"/>
        <v>1.2867149327518412</v>
      </c>
      <c r="Q41" s="31"/>
      <c r="R41" s="58">
        <v>1.2867149327518412</v>
      </c>
      <c r="S41" s="4"/>
      <c r="T41" s="10">
        <v>4</v>
      </c>
      <c r="U41" s="10" t="s">
        <v>144</v>
      </c>
      <c r="V41" s="78">
        <f>_xll.HumidairTdbRHPsi(H41, I41,M41,U41)</f>
        <v>-12.50288947393085</v>
      </c>
      <c r="W41" s="79">
        <v>-12.50288947393085</v>
      </c>
      <c r="X41" s="4"/>
      <c r="Y41" s="16">
        <v>4</v>
      </c>
      <c r="Z41" s="88" t="s">
        <v>145</v>
      </c>
      <c r="AA41" s="78">
        <f>_xll.HumidairTdbRHPsi(H41,I41,M41,Z41)</f>
        <v>-4.8476170366811697</v>
      </c>
      <c r="AB41" s="81">
        <f t="shared" si="32"/>
        <v>32.152382963318829</v>
      </c>
      <c r="AC41" s="80">
        <v>32.152382963318829</v>
      </c>
      <c r="AE41" s="10" t="s">
        <v>146</v>
      </c>
      <c r="AF41" s="78">
        <f>_xll.HumidairTdbRHPsi(H41,I41,M41,AE41)</f>
        <v>-8.045329093781751</v>
      </c>
      <c r="AG41" s="78">
        <f t="shared" si="33"/>
        <v>29.15467090621825</v>
      </c>
      <c r="AH41" s="79">
        <f t="shared" si="34"/>
        <v>29.15467090621825</v>
      </c>
      <c r="AJ41" s="10" t="s">
        <v>150</v>
      </c>
      <c r="AK41" s="84">
        <f>_xll.HumidairTdbRHPsi(H41,I41,M41,AJ41)</f>
        <v>0.75297091589335474</v>
      </c>
      <c r="AL41" s="58">
        <v>0.75297091589335474</v>
      </c>
      <c r="AM41" s="85"/>
      <c r="AN41" s="49">
        <f t="shared" si="23"/>
        <v>0.56417039118486112</v>
      </c>
      <c r="AO41" s="81">
        <f t="shared" si="24"/>
        <v>2.2807204221573989</v>
      </c>
      <c r="AP41" s="81">
        <f t="shared" si="25"/>
        <v>5.5711992686881082</v>
      </c>
      <c r="AR41" s="58">
        <v>0.56417039118486112</v>
      </c>
      <c r="AS41" s="80">
        <v>2.2807204221573989</v>
      </c>
      <c r="AT41" s="80">
        <v>5.5711992686881082</v>
      </c>
      <c r="AU41" s="140"/>
      <c r="AV41" s="49">
        <f t="shared" si="26"/>
        <v>7.0829608815138889E-2</v>
      </c>
      <c r="AW41" s="162">
        <f t="shared" si="27"/>
        <v>7.0829608815138883E-5</v>
      </c>
      <c r="AX41" s="10">
        <f t="shared" si="28"/>
        <v>29</v>
      </c>
      <c r="AY41" s="55">
        <f t="shared" si="29"/>
        <v>1.7110308601473098E-3</v>
      </c>
      <c r="AZ41" s="55">
        <f t="shared" si="30"/>
        <v>1.0047157135333587E-3</v>
      </c>
      <c r="BB41" s="58">
        <v>7.0829608815138889E-2</v>
      </c>
      <c r="BC41" s="167">
        <v>7.0829608815138883E-5</v>
      </c>
      <c r="BD41" s="168">
        <v>29</v>
      </c>
      <c r="BE41" s="170">
        <v>1.7110308601473098E-3</v>
      </c>
      <c r="BF41" s="171">
        <v>1.0047157135333587E-3</v>
      </c>
      <c r="BH41" s="81">
        <f t="shared" si="35"/>
        <v>371.37515514216051</v>
      </c>
      <c r="BI41" s="80">
        <v>371.37515514216051</v>
      </c>
      <c r="BK41" s="81">
        <f t="shared" si="36"/>
        <v>32.152382963318829</v>
      </c>
      <c r="BL41" s="81">
        <f t="shared" si="37"/>
        <v>29.15467090621825</v>
      </c>
      <c r="BM41" s="81">
        <f t="shared" si="38"/>
        <v>2.9977120571005784</v>
      </c>
      <c r="BN41" s="192">
        <f t="shared" si="39"/>
        <v>9.3234522011028859E-2</v>
      </c>
      <c r="BO41" s="81">
        <f t="shared" si="40"/>
        <v>29</v>
      </c>
      <c r="BP41" s="49">
        <f t="shared" si="41"/>
        <v>2.7038011383198368</v>
      </c>
      <c r="BQ41" s="82">
        <f t="shared" si="42"/>
        <v>2691.1106314951298</v>
      </c>
      <c r="BR41" s="23"/>
      <c r="BS41" s="193">
        <v>2691.1106314951298</v>
      </c>
      <c r="BU41" s="51"/>
    </row>
    <row r="42" spans="1:73" x14ac:dyDescent="0.25">
      <c r="A42">
        <v>5</v>
      </c>
      <c r="C42" s="9" t="s">
        <v>26</v>
      </c>
      <c r="D42" s="10" t="s">
        <v>27</v>
      </c>
      <c r="E42" s="11" t="s">
        <v>28</v>
      </c>
      <c r="F42" s="33">
        <v>44308</v>
      </c>
      <c r="G42" s="29">
        <v>2.9861111111111113E-2</v>
      </c>
      <c r="H42" s="28">
        <v>7</v>
      </c>
      <c r="I42" s="28">
        <v>51</v>
      </c>
      <c r="J42" s="28" t="s">
        <v>93</v>
      </c>
      <c r="K42" s="10">
        <v>356</v>
      </c>
      <c r="L42" s="47">
        <f t="shared" si="31"/>
        <v>97120.766933102874</v>
      </c>
      <c r="M42" s="10">
        <f t="shared" si="21"/>
        <v>0.97120766933102876</v>
      </c>
      <c r="N42" s="10" t="s">
        <v>15</v>
      </c>
      <c r="O42" s="10">
        <f>_xll.HumidairTdbRHPsi(H42,I42,M42,N42)</f>
        <v>3.3023915266308197E-3</v>
      </c>
      <c r="P42" s="49">
        <f t="shared" si="22"/>
        <v>3.3023915266308195</v>
      </c>
      <c r="Q42" s="31"/>
      <c r="R42" s="58">
        <v>3.3023915266308195</v>
      </c>
      <c r="S42" s="4"/>
      <c r="T42" s="10">
        <v>5</v>
      </c>
      <c r="U42" s="10" t="s">
        <v>144</v>
      </c>
      <c r="V42" s="78">
        <f>_xll.HumidairTdbRHPsi(H42, I42,M42,U42)</f>
        <v>-2.1573265739980911</v>
      </c>
      <c r="W42" s="79">
        <v>-2.1573265739980911</v>
      </c>
      <c r="X42" s="4"/>
      <c r="Y42" s="16">
        <v>5</v>
      </c>
      <c r="Z42" s="88" t="s">
        <v>145</v>
      </c>
      <c r="AA42" s="78">
        <f>_xll.HumidairTdbRHPsi(H42,I42,M42,Z42)</f>
        <v>15.351377055330115</v>
      </c>
      <c r="AB42" s="81">
        <f t="shared" si="32"/>
        <v>52.351377055330119</v>
      </c>
      <c r="AC42" s="80">
        <v>52.351377055330119</v>
      </c>
      <c r="AE42" s="10" t="s">
        <v>146</v>
      </c>
      <c r="AF42" s="78">
        <f>_xll.HumidairTdbRHPsi(H42,I42,M42,AE42)</f>
        <v>7.0522799876115707</v>
      </c>
      <c r="AG42" s="78">
        <f t="shared" si="33"/>
        <v>44.252279987611573</v>
      </c>
      <c r="AH42" s="79">
        <f t="shared" si="34"/>
        <v>44.252279987611573</v>
      </c>
      <c r="AJ42" s="10" t="s">
        <v>150</v>
      </c>
      <c r="AK42" s="84">
        <f>_xll.HumidairTdbRHPsi(H42,I42,M42,AJ42)</f>
        <v>0.82763123114295956</v>
      </c>
      <c r="AL42" s="58">
        <v>0.82763123114295956</v>
      </c>
      <c r="AM42" s="85"/>
      <c r="AN42" s="49">
        <f t="shared" si="23"/>
        <v>0.51327678340958993</v>
      </c>
      <c r="AO42" s="81">
        <f t="shared" si="24"/>
        <v>6.4339390234908462</v>
      </c>
      <c r="AP42" s="81">
        <f t="shared" si="25"/>
        <v>15.716418388778006</v>
      </c>
      <c r="AR42" s="58">
        <v>0.51327678340958993</v>
      </c>
      <c r="AS42" s="80">
        <v>6.4339390234908462</v>
      </c>
      <c r="AT42" s="80">
        <v>15.716418388778006</v>
      </c>
      <c r="AU42" s="140"/>
      <c r="AV42" s="49">
        <f t="shared" si="26"/>
        <v>0.12172321659041008</v>
      </c>
      <c r="AW42" s="162">
        <f t="shared" si="27"/>
        <v>1.2172321659041008E-4</v>
      </c>
      <c r="AX42" s="10">
        <f t="shared" si="28"/>
        <v>44</v>
      </c>
      <c r="AY42" s="55">
        <f t="shared" si="29"/>
        <v>4.4613993344717103E-3</v>
      </c>
      <c r="AZ42" s="55">
        <f t="shared" si="30"/>
        <v>2.6197294976345918E-3</v>
      </c>
      <c r="BB42" s="58">
        <v>0.12172321659041008</v>
      </c>
      <c r="BC42" s="167">
        <v>1.2172321659041008E-4</v>
      </c>
      <c r="BD42" s="168">
        <v>44</v>
      </c>
      <c r="BE42" s="170">
        <v>4.4613993344717103E-3</v>
      </c>
      <c r="BF42" s="171">
        <v>2.6197294976345918E-3</v>
      </c>
      <c r="BH42" s="81">
        <f t="shared" si="35"/>
        <v>337.87353616568282</v>
      </c>
      <c r="BI42" s="80">
        <v>337.87353616568282</v>
      </c>
      <c r="BK42" s="81">
        <f t="shared" si="36"/>
        <v>52.351377055330119</v>
      </c>
      <c r="BL42" s="81">
        <f t="shared" si="37"/>
        <v>44.252279987611573</v>
      </c>
      <c r="BM42" s="81">
        <f t="shared" si="38"/>
        <v>8.0990970677185459</v>
      </c>
      <c r="BN42" s="192">
        <f t="shared" si="39"/>
        <v>0.15470647618607278</v>
      </c>
      <c r="BO42" s="81">
        <f t="shared" si="40"/>
        <v>44</v>
      </c>
      <c r="BP42" s="49">
        <f t="shared" si="41"/>
        <v>6.8070849521872026</v>
      </c>
      <c r="BQ42" s="82">
        <f t="shared" si="42"/>
        <v>2598.3922990268502</v>
      </c>
      <c r="BR42" s="23"/>
      <c r="BS42" s="193">
        <v>2598.3922990268502</v>
      </c>
      <c r="BU42" s="51"/>
    </row>
    <row r="43" spans="1:73" x14ac:dyDescent="0.25">
      <c r="A43">
        <v>6</v>
      </c>
      <c r="C43" s="9" t="s">
        <v>29</v>
      </c>
      <c r="D43" s="10" t="s">
        <v>30</v>
      </c>
      <c r="E43" s="11" t="s">
        <v>31</v>
      </c>
      <c r="F43" s="33">
        <v>44307</v>
      </c>
      <c r="G43" s="34">
        <v>0.40625</v>
      </c>
      <c r="H43" s="28">
        <v>12</v>
      </c>
      <c r="I43" s="28">
        <v>69</v>
      </c>
      <c r="J43" s="28" t="s">
        <v>90</v>
      </c>
      <c r="K43" s="10">
        <v>2</v>
      </c>
      <c r="L43" s="47">
        <f t="shared" si="31"/>
        <v>101300.97600813</v>
      </c>
      <c r="M43" s="10">
        <f t="shared" si="21"/>
        <v>1.0130097600812999</v>
      </c>
      <c r="N43" s="10" t="s">
        <v>15</v>
      </c>
      <c r="O43" s="10">
        <f>_xll.HumidairTdbRHPsi(H43,I43,M43,N43)</f>
        <v>6.0234213207280623E-3</v>
      </c>
      <c r="P43" s="49">
        <f t="shared" si="22"/>
        <v>6.0234213207280627</v>
      </c>
      <c r="Q43" s="31"/>
      <c r="R43" s="58">
        <v>6.0234213207280627</v>
      </c>
      <c r="S43" s="4"/>
      <c r="T43" s="10">
        <v>6</v>
      </c>
      <c r="U43" s="10" t="s">
        <v>144</v>
      </c>
      <c r="V43" s="78">
        <f>_xll.HumidairTdbRHPsi(H43, I43,M43,U43)</f>
        <v>6.4958006518945126</v>
      </c>
      <c r="W43" s="79">
        <v>6.4958006518945126</v>
      </c>
      <c r="X43" s="4"/>
      <c r="Y43" s="16">
        <v>6</v>
      </c>
      <c r="Z43" s="88" t="s">
        <v>145</v>
      </c>
      <c r="AA43" s="78">
        <f>_xll.HumidairTdbRHPsi(H43,I43,M43,Z43)</f>
        <v>27.263248260812954</v>
      </c>
      <c r="AB43" s="81">
        <f t="shared" si="32"/>
        <v>64.263248260812958</v>
      </c>
      <c r="AC43" s="80">
        <v>64.263248260812958</v>
      </c>
      <c r="AE43" s="10" t="s">
        <v>146</v>
      </c>
      <c r="AF43" s="78">
        <f>_xll.HumidairTdbRHPsi(H43,I43,M43,AE43)</f>
        <v>12.071307599757331</v>
      </c>
      <c r="AG43" s="78">
        <f t="shared" si="33"/>
        <v>49.271307599757336</v>
      </c>
      <c r="AH43" s="79">
        <f t="shared" si="34"/>
        <v>49.271307599757336</v>
      </c>
      <c r="AJ43" s="10" t="s">
        <v>150</v>
      </c>
      <c r="AK43" s="84">
        <f>_xll.HumidairTdbRHPsi(H43,I43,M43,AJ43)</f>
        <v>0.80767011149217027</v>
      </c>
      <c r="AL43" s="58">
        <v>0.80767011149217027</v>
      </c>
      <c r="AM43" s="85"/>
      <c r="AN43" s="49">
        <f t="shared" si="23"/>
        <v>0.52596213494337696</v>
      </c>
      <c r="AO43" s="81">
        <f t="shared" si="24"/>
        <v>11.452195739103008</v>
      </c>
      <c r="AP43" s="81">
        <f t="shared" si="25"/>
        <v>27.974697778262168</v>
      </c>
      <c r="AR43" s="58">
        <v>0.52596213494337696</v>
      </c>
      <c r="AS43" s="80">
        <v>11.452195739103008</v>
      </c>
      <c r="AT43" s="80">
        <v>27.974697778262168</v>
      </c>
      <c r="AU43" s="140"/>
      <c r="AV43" s="49">
        <f t="shared" si="26"/>
        <v>0.10903786505662305</v>
      </c>
      <c r="AW43" s="162">
        <f t="shared" si="27"/>
        <v>1.0903786505662305E-4</v>
      </c>
      <c r="AX43" s="10">
        <f t="shared" si="28"/>
        <v>49</v>
      </c>
      <c r="AY43" s="55">
        <f t="shared" si="29"/>
        <v>4.4505985380161829E-3</v>
      </c>
      <c r="AZ43" s="55">
        <f t="shared" si="30"/>
        <v>2.6133872801034543E-3</v>
      </c>
      <c r="BB43" s="58">
        <v>0.10903786505662305</v>
      </c>
      <c r="BC43" s="167">
        <v>1.0903786505662305E-4</v>
      </c>
      <c r="BD43" s="168">
        <v>49</v>
      </c>
      <c r="BE43" s="170">
        <v>4.4505985380161829E-3</v>
      </c>
      <c r="BF43" s="171">
        <v>2.6133872801034543E-3</v>
      </c>
      <c r="BH43" s="81">
        <f t="shared" si="35"/>
        <v>346.223893553278</v>
      </c>
      <c r="BI43" s="80">
        <v>346.223893553278</v>
      </c>
      <c r="BK43" s="81">
        <f t="shared" si="36"/>
        <v>64.263248260812958</v>
      </c>
      <c r="BL43" s="81">
        <f t="shared" si="37"/>
        <v>49.271307599757336</v>
      </c>
      <c r="BM43" s="81">
        <f t="shared" si="38"/>
        <v>14.991940661055622</v>
      </c>
      <c r="BN43" s="192">
        <f t="shared" si="39"/>
        <v>0.23328949386764111</v>
      </c>
      <c r="BO43" s="81">
        <f t="shared" si="40"/>
        <v>49</v>
      </c>
      <c r="BP43" s="49">
        <f t="shared" si="41"/>
        <v>11.431185199514415</v>
      </c>
      <c r="BQ43" s="82">
        <f t="shared" si="42"/>
        <v>4374.0877161772578</v>
      </c>
      <c r="BR43" s="23"/>
      <c r="BS43" s="193">
        <v>4374.0877161772578</v>
      </c>
      <c r="BU43" s="51"/>
    </row>
    <row r="44" spans="1:73" x14ac:dyDescent="0.25">
      <c r="A44">
        <v>7</v>
      </c>
      <c r="B44" s="1" t="s">
        <v>32</v>
      </c>
      <c r="C44" s="9" t="s">
        <v>33</v>
      </c>
      <c r="D44" s="10" t="s">
        <v>34</v>
      </c>
      <c r="E44" s="11" t="s">
        <v>35</v>
      </c>
      <c r="F44" s="33">
        <v>44307</v>
      </c>
      <c r="G44" s="29">
        <v>0.78680555555555554</v>
      </c>
      <c r="H44" s="28">
        <v>18</v>
      </c>
      <c r="I44" s="28">
        <v>45</v>
      </c>
      <c r="J44" s="28" t="s">
        <v>75</v>
      </c>
      <c r="K44" s="10">
        <v>126</v>
      </c>
      <c r="L44" s="47">
        <f t="shared" si="31"/>
        <v>99820.46987859541</v>
      </c>
      <c r="M44" s="10">
        <f t="shared" si="21"/>
        <v>0.99820469878595408</v>
      </c>
      <c r="N44" s="10" t="s">
        <v>15</v>
      </c>
      <c r="O44" s="10">
        <f>_xll.HumidairTdbRHPsi(H44,I44,M44,N44)</f>
        <v>5.8660724101751273E-3</v>
      </c>
      <c r="P44" s="49">
        <f t="shared" si="22"/>
        <v>5.8660724101751276</v>
      </c>
      <c r="Q44" s="31"/>
      <c r="R44" s="58">
        <v>5.8660724101751276</v>
      </c>
      <c r="S44" s="4"/>
      <c r="T44" s="10">
        <v>7</v>
      </c>
      <c r="U44" s="10" t="s">
        <v>144</v>
      </c>
      <c r="V44" s="78">
        <f>_xll.HumidairTdbRHPsi(H44, I44,M44,U44)</f>
        <v>5.9037475568837294</v>
      </c>
      <c r="W44" s="79">
        <v>5.9037475568837294</v>
      </c>
      <c r="X44" s="4"/>
      <c r="Y44" s="16">
        <v>7</v>
      </c>
      <c r="Z44" s="88" t="s">
        <v>145</v>
      </c>
      <c r="AA44" s="78">
        <f>_xll.HumidairTdbRHPsi(H44,I44,M44,Z44)</f>
        <v>32.973051196078259</v>
      </c>
      <c r="AB44" s="81">
        <f t="shared" si="32"/>
        <v>69.973051196078259</v>
      </c>
      <c r="AC44" s="80">
        <v>69.973051196078259</v>
      </c>
      <c r="AE44" s="10" t="s">
        <v>146</v>
      </c>
      <c r="AF44" s="78">
        <f>_xll.HumidairTdbRHPsi(H44,I44,M44,AE44)</f>
        <v>18.111729271962439</v>
      </c>
      <c r="AG44" s="78">
        <f t="shared" si="33"/>
        <v>55.311729271962442</v>
      </c>
      <c r="AH44" s="79">
        <f t="shared" si="34"/>
        <v>55.311729271962442</v>
      </c>
      <c r="AJ44" s="10" t="s">
        <v>150</v>
      </c>
      <c r="AK44" s="84">
        <f>_xll.HumidairTdbRHPsi(H44,I44,M44,AJ44)</f>
        <v>0.83695347147523647</v>
      </c>
      <c r="AL44" s="58">
        <v>0.83695347147523647</v>
      </c>
      <c r="AM44" s="85"/>
      <c r="AN44" s="49">
        <f t="shared" si="23"/>
        <v>0.50755975170472312</v>
      </c>
      <c r="AO44" s="81">
        <f t="shared" si="24"/>
        <v>11.557402631853602</v>
      </c>
      <c r="AP44" s="81">
        <f t="shared" si="25"/>
        <v>28.231690506638152</v>
      </c>
      <c r="AR44" s="58">
        <v>0.50755975170472312</v>
      </c>
      <c r="AS44" s="80">
        <v>11.557402631853602</v>
      </c>
      <c r="AT44" s="80">
        <v>28.231690506638152</v>
      </c>
      <c r="AU44" s="140"/>
      <c r="AV44" s="49">
        <f t="shared" si="26"/>
        <v>0.12744024829527689</v>
      </c>
      <c r="AW44" s="162">
        <f t="shared" si="27"/>
        <v>1.274402482952769E-4</v>
      </c>
      <c r="AX44" s="10">
        <f t="shared" si="28"/>
        <v>55</v>
      </c>
      <c r="AY44" s="55">
        <f t="shared" si="29"/>
        <v>5.8386749756481112E-3</v>
      </c>
      <c r="AZ44" s="55">
        <f t="shared" si="30"/>
        <v>3.4284644601574347E-3</v>
      </c>
      <c r="BB44" s="58">
        <v>0.12744024829527689</v>
      </c>
      <c r="BC44" s="167">
        <v>1.274402482952769E-4</v>
      </c>
      <c r="BD44" s="168">
        <v>55</v>
      </c>
      <c r="BE44" s="170">
        <v>5.8386749756481112E-3</v>
      </c>
      <c r="BF44" s="171">
        <v>3.4284644601574347E-3</v>
      </c>
      <c r="BH44" s="81">
        <f t="shared" si="35"/>
        <v>334.11019875995947</v>
      </c>
      <c r="BI44" s="80">
        <v>334.11019875995947</v>
      </c>
      <c r="BK44" s="81">
        <f t="shared" si="36"/>
        <v>69.973051196078259</v>
      </c>
      <c r="BL44" s="81">
        <f t="shared" si="37"/>
        <v>55.311729271962442</v>
      </c>
      <c r="BM44" s="81">
        <f t="shared" si="38"/>
        <v>14.661321924115818</v>
      </c>
      <c r="BN44" s="192">
        <f t="shared" si="39"/>
        <v>0.20952812080513553</v>
      </c>
      <c r="BO44" s="81">
        <f t="shared" si="40"/>
        <v>55</v>
      </c>
      <c r="BP44" s="49">
        <f t="shared" si="41"/>
        <v>11.524046644282453</v>
      </c>
      <c r="BQ44" s="82">
        <f t="shared" si="42"/>
        <v>3361.2851403900131</v>
      </c>
      <c r="BR44" s="23"/>
      <c r="BS44" s="193">
        <v>3361.2851403900131</v>
      </c>
      <c r="BU44" s="51"/>
    </row>
    <row r="45" spans="1:73" x14ac:dyDescent="0.25">
      <c r="A45">
        <v>8</v>
      </c>
      <c r="C45" s="9" t="s">
        <v>36</v>
      </c>
      <c r="D45" s="10" t="s">
        <v>37</v>
      </c>
      <c r="E45" s="11" t="s">
        <v>38</v>
      </c>
      <c r="F45" s="33">
        <v>44308</v>
      </c>
      <c r="G45" s="29">
        <v>3.6111111111111115E-2</v>
      </c>
      <c r="H45" s="28">
        <v>15</v>
      </c>
      <c r="I45" s="28">
        <v>43</v>
      </c>
      <c r="J45" s="28" t="s">
        <v>88</v>
      </c>
      <c r="K45" s="10">
        <v>143</v>
      </c>
      <c r="L45" s="47">
        <f t="shared" si="31"/>
        <v>99618.87034335341</v>
      </c>
      <c r="M45" s="10">
        <f t="shared" si="21"/>
        <v>0.99618870343353405</v>
      </c>
      <c r="N45" s="10" t="s">
        <v>15</v>
      </c>
      <c r="O45" s="10">
        <f>_xll.HumidairTdbRHPsi(H45,I45,M45,N45)</f>
        <v>4.6309512756374646E-3</v>
      </c>
      <c r="P45" s="49">
        <f t="shared" si="22"/>
        <v>4.6309512756374644</v>
      </c>
      <c r="Q45" s="31"/>
      <c r="R45" s="58">
        <v>4.6309512756374644</v>
      </c>
      <c r="S45" s="4"/>
      <c r="T45" s="10">
        <v>8</v>
      </c>
      <c r="U45" s="10" t="s">
        <v>144</v>
      </c>
      <c r="V45" s="78">
        <f>_xll.HumidairTdbRHPsi(H45, I45,M45,U45)</f>
        <v>2.5346283970572472</v>
      </c>
      <c r="W45" s="79">
        <v>2.5346283970572472</v>
      </c>
      <c r="X45" s="4"/>
      <c r="Y45" s="16">
        <v>8</v>
      </c>
      <c r="Z45" s="88" t="s">
        <v>145</v>
      </c>
      <c r="AA45" s="78">
        <f>_xll.HumidairTdbRHPsi(H45,I45,M45,Z45)</f>
        <v>26.800375634102284</v>
      </c>
      <c r="AB45" s="81">
        <f t="shared" si="32"/>
        <v>63.800375634102281</v>
      </c>
      <c r="AC45" s="80">
        <v>63.800375634102281</v>
      </c>
      <c r="AE45" s="10" t="s">
        <v>146</v>
      </c>
      <c r="AF45" s="78">
        <f>_xll.HumidairTdbRHPsi(H45,I45,M45,AE45)</f>
        <v>15.093775924841363</v>
      </c>
      <c r="AG45" s="78">
        <f t="shared" si="33"/>
        <v>52.29377592484137</v>
      </c>
      <c r="AH45" s="79">
        <f t="shared" si="34"/>
        <v>52.29377592484137</v>
      </c>
      <c r="AJ45" s="10" t="s">
        <v>150</v>
      </c>
      <c r="AK45" s="84">
        <f>_xll.HumidairTdbRHPsi(H45,I45,M45,AJ45)</f>
        <v>0.829981171049334</v>
      </c>
      <c r="AL45" s="58">
        <v>0.829981171049334</v>
      </c>
      <c r="AM45" s="85"/>
      <c r="AN45" s="49">
        <f t="shared" si="23"/>
        <v>0.51182353406078274</v>
      </c>
      <c r="AO45" s="81">
        <f t="shared" si="24"/>
        <v>9.0479451753531634</v>
      </c>
      <c r="AP45" s="81">
        <f t="shared" si="25"/>
        <v>22.101746910467593</v>
      </c>
      <c r="AR45" s="58">
        <v>0.51182353406078274</v>
      </c>
      <c r="AS45" s="80">
        <v>9.0479451753531634</v>
      </c>
      <c r="AT45" s="80">
        <v>22.101746910467593</v>
      </c>
      <c r="AU45" s="140"/>
      <c r="AV45" s="49">
        <f t="shared" si="26"/>
        <v>0.12317646593921727</v>
      </c>
      <c r="AW45" s="162">
        <f t="shared" si="27"/>
        <v>1.2317646593921726E-4</v>
      </c>
      <c r="AX45" s="10">
        <f t="shared" si="28"/>
        <v>52</v>
      </c>
      <c r="AY45" s="55">
        <f t="shared" si="29"/>
        <v>5.3355117986231349E-3</v>
      </c>
      <c r="AZ45" s="55">
        <f t="shared" si="30"/>
        <v>3.13300751533948E-3</v>
      </c>
      <c r="BB45" s="58">
        <v>0.12317646593921727</v>
      </c>
      <c r="BC45" s="167">
        <v>1.2317646593921726E-4</v>
      </c>
      <c r="BD45" s="168">
        <v>52</v>
      </c>
      <c r="BE45" s="170">
        <v>5.3355117986231349E-3</v>
      </c>
      <c r="BF45" s="171">
        <v>3.13300751533948E-3</v>
      </c>
      <c r="BH45" s="81">
        <f t="shared" si="35"/>
        <v>336.91690903528689</v>
      </c>
      <c r="BI45" s="80">
        <v>336.91690903528689</v>
      </c>
      <c r="BK45" s="81">
        <f t="shared" si="36"/>
        <v>63.800375634102281</v>
      </c>
      <c r="BL45" s="81">
        <f t="shared" si="37"/>
        <v>52.29377592484137</v>
      </c>
      <c r="BM45" s="81">
        <f t="shared" si="38"/>
        <v>11.506599709260911</v>
      </c>
      <c r="BN45" s="192">
        <f t="shared" si="39"/>
        <v>0.18035316555582248</v>
      </c>
      <c r="BO45" s="81">
        <f t="shared" si="40"/>
        <v>52</v>
      </c>
      <c r="BP45" s="49">
        <f t="shared" si="41"/>
        <v>9.3783646089027695</v>
      </c>
      <c r="BQ45" s="82">
        <f t="shared" si="42"/>
        <v>2993.4063557094814</v>
      </c>
      <c r="BR45" s="23"/>
      <c r="BS45" s="193">
        <v>2993.4063557094814</v>
      </c>
      <c r="BU45" s="51"/>
    </row>
    <row r="46" spans="1:73" x14ac:dyDescent="0.25">
      <c r="A46">
        <v>9</v>
      </c>
      <c r="C46" s="68" t="s">
        <v>39</v>
      </c>
      <c r="D46" s="10" t="s">
        <v>40</v>
      </c>
      <c r="E46" s="11" t="s">
        <v>41</v>
      </c>
      <c r="F46" s="33">
        <v>44307</v>
      </c>
      <c r="G46" s="29">
        <v>0.52777777777777779</v>
      </c>
      <c r="H46" s="28">
        <v>-2</v>
      </c>
      <c r="I46" s="28">
        <v>91</v>
      </c>
      <c r="J46" s="28" t="s">
        <v>92</v>
      </c>
      <c r="K46" s="10">
        <v>62</v>
      </c>
      <c r="L46" s="47">
        <f t="shared" si="31"/>
        <v>100582.39802554256</v>
      </c>
      <c r="M46" s="10">
        <f t="shared" si="21"/>
        <v>1.0058239802554256</v>
      </c>
      <c r="N46" s="10" t="s">
        <v>15</v>
      </c>
      <c r="O46" s="10">
        <f>_xll.HumidairTdbRHPsi(H46,I46,M46,N46)</f>
        <v>2.9388315156399225E-3</v>
      </c>
      <c r="P46" s="49">
        <f t="shared" si="22"/>
        <v>2.9388315156399223</v>
      </c>
      <c r="Q46" s="31"/>
      <c r="R46" s="58">
        <v>2.9388315156399223</v>
      </c>
      <c r="S46" s="4"/>
      <c r="T46" s="10">
        <v>9</v>
      </c>
      <c r="U46" s="10" t="s">
        <v>144</v>
      </c>
      <c r="V46" s="78">
        <f>_xll.HumidairTdbRHPsi(H46, I46,M46,U46)</f>
        <v>-3.1237899108811575</v>
      </c>
      <c r="W46" s="79">
        <v>-3.1237899108811575</v>
      </c>
      <c r="X46" s="4"/>
      <c r="Y46" s="16">
        <v>9</v>
      </c>
      <c r="Z46" s="88" t="s">
        <v>145</v>
      </c>
      <c r="AA46" s="78">
        <f>_xll.HumidairTdbRHPsi(H46,I46,M46,Z46)</f>
        <v>5.3263671917336461</v>
      </c>
      <c r="AB46" s="81">
        <f t="shared" si="32"/>
        <v>42.326367191733645</v>
      </c>
      <c r="AC46" s="80">
        <v>42.326367191733645</v>
      </c>
      <c r="AE46" s="10" t="s">
        <v>146</v>
      </c>
      <c r="AF46" s="78">
        <f>_xll.HumidairTdbRHPsi(H46,I46,M46,AE46)</f>
        <v>-2.0095455017140385</v>
      </c>
      <c r="AG46" s="78">
        <f t="shared" si="33"/>
        <v>35.190454498285966</v>
      </c>
      <c r="AH46" s="79">
        <f t="shared" si="34"/>
        <v>35.190454498285966</v>
      </c>
      <c r="AJ46" s="10" t="s">
        <v>150</v>
      </c>
      <c r="AK46" s="84">
        <f>_xll.HumidairTdbRHPsi(H46,I46,M46,AJ46)</f>
        <v>0.77337392116835857</v>
      </c>
      <c r="AL46" s="58">
        <v>0.77337392116835857</v>
      </c>
      <c r="AM46" s="85"/>
      <c r="AN46" s="49">
        <f t="shared" si="23"/>
        <v>0.54928655407543803</v>
      </c>
      <c r="AO46" s="81">
        <f t="shared" si="24"/>
        <v>5.3502702620976743</v>
      </c>
      <c r="AP46" s="81">
        <f t="shared" si="25"/>
        <v>13.069301033963031</v>
      </c>
      <c r="AR46" s="58">
        <v>0.54928655407543803</v>
      </c>
      <c r="AS46" s="80">
        <v>5.3502702620976743</v>
      </c>
      <c r="AT46" s="80">
        <v>13.069301033963031</v>
      </c>
      <c r="AU46" s="140"/>
      <c r="AV46" s="49">
        <f t="shared" si="26"/>
        <v>8.5713445924561982E-2</v>
      </c>
      <c r="AW46" s="162">
        <f t="shared" si="27"/>
        <v>8.5713445924561976E-5</v>
      </c>
      <c r="AX46" s="10">
        <f t="shared" si="28"/>
        <v>35</v>
      </c>
      <c r="AY46" s="55">
        <f t="shared" si="29"/>
        <v>2.4989755159306043E-3</v>
      </c>
      <c r="AZ46" s="55">
        <f t="shared" si="30"/>
        <v>1.4673960751207305E-3</v>
      </c>
      <c r="BB46" s="58">
        <v>8.5713445924561982E-2</v>
      </c>
      <c r="BC46" s="167">
        <v>8.5713445924561976E-5</v>
      </c>
      <c r="BD46" s="168">
        <v>35</v>
      </c>
      <c r="BE46" s="170">
        <v>2.4989755159306043E-3</v>
      </c>
      <c r="BF46" s="171">
        <v>1.4673960751207305E-3</v>
      </c>
      <c r="BH46" s="81">
        <f t="shared" si="35"/>
        <v>361.57760567485525</v>
      </c>
      <c r="BI46" s="80">
        <v>361.57760567485525</v>
      </c>
      <c r="BK46" s="81">
        <f t="shared" si="36"/>
        <v>42.326367191733645</v>
      </c>
      <c r="BL46" s="81">
        <f t="shared" si="37"/>
        <v>35.190454498285966</v>
      </c>
      <c r="BM46" s="81">
        <f t="shared" si="38"/>
        <v>7.1359126934476791</v>
      </c>
      <c r="BN46" s="192">
        <f t="shared" si="39"/>
        <v>0.1685926094512861</v>
      </c>
      <c r="BO46" s="81">
        <f t="shared" si="40"/>
        <v>35</v>
      </c>
      <c r="BP46" s="49">
        <f t="shared" si="41"/>
        <v>5.9007413307950136</v>
      </c>
      <c r="BQ46" s="82">
        <f t="shared" si="42"/>
        <v>4021.2328701434803</v>
      </c>
      <c r="BR46" s="23"/>
      <c r="BS46" s="193">
        <v>4021.2328701434803</v>
      </c>
      <c r="BU46" s="51"/>
    </row>
    <row r="47" spans="1:73" x14ac:dyDescent="0.25">
      <c r="A47" s="5">
        <v>10</v>
      </c>
      <c r="B47" s="14"/>
      <c r="C47" s="12" t="s">
        <v>42</v>
      </c>
      <c r="D47" s="13" t="s">
        <v>43</v>
      </c>
      <c r="E47" s="8" t="s">
        <v>44</v>
      </c>
      <c r="F47" s="33">
        <v>44307</v>
      </c>
      <c r="G47" s="29">
        <v>0.49027777777777781</v>
      </c>
      <c r="H47" s="28">
        <v>2</v>
      </c>
      <c r="I47" s="28">
        <v>37</v>
      </c>
      <c r="J47" s="28" t="s">
        <v>75</v>
      </c>
      <c r="K47" s="10">
        <v>255</v>
      </c>
      <c r="L47" s="47">
        <f t="shared" si="31"/>
        <v>98298.910193542106</v>
      </c>
      <c r="M47" s="10">
        <f t="shared" si="21"/>
        <v>0.98298910193542111</v>
      </c>
      <c r="N47" s="10" t="s">
        <v>15</v>
      </c>
      <c r="O47" s="10">
        <f>_xll.HumidairTdbRHPsi(H47,I47,M47,N47)</f>
        <v>1.6635195326104967E-3</v>
      </c>
      <c r="P47" s="49">
        <f t="shared" si="22"/>
        <v>1.6635195326104968</v>
      </c>
      <c r="Q47" s="31"/>
      <c r="R47" s="58">
        <v>1.6635195326104968</v>
      </c>
      <c r="S47" s="4"/>
      <c r="T47" s="10">
        <v>10</v>
      </c>
      <c r="U47" s="10" t="s">
        <v>144</v>
      </c>
      <c r="V47" s="78">
        <f>_xll.HumidairTdbRHPsi(H47, I47,M47,U47)</f>
        <v>-9.9458654637807626</v>
      </c>
      <c r="W47" s="79">
        <v>-9.9458654637807626</v>
      </c>
      <c r="X47" s="4"/>
      <c r="Y47" s="16">
        <v>10</v>
      </c>
      <c r="Z47" s="88" t="s">
        <v>145</v>
      </c>
      <c r="AA47" s="78">
        <f>_xll.HumidairTdbRHPsi(H47,I47,M47,Z47)</f>
        <v>6.1851508967876541</v>
      </c>
      <c r="AB47" s="81">
        <f t="shared" si="32"/>
        <v>43.185150896787654</v>
      </c>
      <c r="AC47" s="80">
        <v>43.185150896787697</v>
      </c>
      <c r="AE47" s="10" t="s">
        <v>146</v>
      </c>
      <c r="AF47" s="78">
        <f>_xll.HumidairTdbRHPsi(H47,I47,M47,AE47)</f>
        <v>2.0199545658991651</v>
      </c>
      <c r="AG47" s="78">
        <f t="shared" si="33"/>
        <v>39.219954565899165</v>
      </c>
      <c r="AH47" s="79">
        <f t="shared" si="34"/>
        <v>39.219954565899165</v>
      </c>
      <c r="AJ47" s="10" t="s">
        <v>150</v>
      </c>
      <c r="AK47" s="84">
        <f>_xll.HumidairTdbRHPsi(H47,I47,M47,AJ47)</f>
        <v>0.80306516612140555</v>
      </c>
      <c r="AL47" s="58">
        <v>0.80306516612140555</v>
      </c>
      <c r="AM47" s="85"/>
      <c r="AN47" s="49">
        <f t="shared" si="23"/>
        <v>0.52897811297440367</v>
      </c>
      <c r="AO47" s="81">
        <f t="shared" si="24"/>
        <v>3.1447795131950791</v>
      </c>
      <c r="AP47" s="81">
        <f t="shared" si="25"/>
        <v>7.6818680421710415</v>
      </c>
      <c r="AR47" s="58">
        <v>0.52897811297440367</v>
      </c>
      <c r="AS47" s="80">
        <v>3.1447795131950791</v>
      </c>
      <c r="AT47" s="80">
        <v>7.6818680421710415</v>
      </c>
      <c r="AU47" s="140"/>
      <c r="AV47" s="49">
        <f t="shared" si="26"/>
        <v>0.10602188702559634</v>
      </c>
      <c r="AW47" s="162">
        <f t="shared" si="27"/>
        <v>1.0602188702559635E-4</v>
      </c>
      <c r="AX47" s="10">
        <f t="shared" si="28"/>
        <v>39</v>
      </c>
      <c r="AY47" s="55">
        <f t="shared" si="29"/>
        <v>3.4443330438005486E-3</v>
      </c>
      <c r="AZ47" s="55">
        <f t="shared" si="30"/>
        <v>2.0225091273050784E-3</v>
      </c>
      <c r="BB47" s="58">
        <v>0.10602188702559634</v>
      </c>
      <c r="BC47" s="167">
        <v>1.0602188702559635E-4</v>
      </c>
      <c r="BD47" s="168">
        <v>39</v>
      </c>
      <c r="BE47" s="170">
        <v>3.4443330438005486E-3</v>
      </c>
      <c r="BF47" s="171">
        <v>2.0225091273050784E-3</v>
      </c>
      <c r="BH47" s="81">
        <f t="shared" si="35"/>
        <v>348.20921452488301</v>
      </c>
      <c r="BI47" s="80">
        <v>348.20921452488301</v>
      </c>
      <c r="BK47" s="81">
        <f t="shared" si="36"/>
        <v>43.185150896787654</v>
      </c>
      <c r="BL47" s="81">
        <f t="shared" si="37"/>
        <v>39.219954565899165</v>
      </c>
      <c r="BM47" s="81">
        <f t="shared" si="38"/>
        <v>3.9651963308884888</v>
      </c>
      <c r="BN47" s="192">
        <f t="shared" si="39"/>
        <v>9.1818512811621122E-2</v>
      </c>
      <c r="BO47" s="81">
        <f t="shared" si="40"/>
        <v>39</v>
      </c>
      <c r="BP47" s="49">
        <f t="shared" si="41"/>
        <v>3.5809219996532238</v>
      </c>
      <c r="BQ47" s="82">
        <f t="shared" si="42"/>
        <v>1770.5344076368522</v>
      </c>
      <c r="BR47" s="23"/>
      <c r="BS47" s="193">
        <v>1770.5344076368522</v>
      </c>
      <c r="BU47" s="51"/>
    </row>
    <row r="48" spans="1:73" x14ac:dyDescent="0.25">
      <c r="A48">
        <v>11</v>
      </c>
      <c r="C48" s="9" t="s">
        <v>77</v>
      </c>
      <c r="D48" s="10" t="s">
        <v>78</v>
      </c>
      <c r="E48" s="11" t="s">
        <v>79</v>
      </c>
      <c r="F48" s="33">
        <v>44307</v>
      </c>
      <c r="G48" s="34">
        <v>0.70138888888888884</v>
      </c>
      <c r="H48" s="28">
        <v>39</v>
      </c>
      <c r="I48" s="28">
        <v>6</v>
      </c>
      <c r="J48" s="28" t="s">
        <v>90</v>
      </c>
      <c r="K48" s="10">
        <v>138</v>
      </c>
      <c r="L48" s="47">
        <f>+((101325*(1-(2.25577*10^-5)*(K48))^5.25588))</f>
        <v>99678.130068961269</v>
      </c>
      <c r="M48" s="10">
        <f t="shared" si="21"/>
        <v>0.99678130068961268</v>
      </c>
      <c r="N48" s="10" t="s">
        <v>15</v>
      </c>
      <c r="O48" s="10">
        <f>_xll.HumidairTdbRHPsi(H48,I48,M48,N48)</f>
        <v>2.6437649104775612E-3</v>
      </c>
      <c r="P48" s="49">
        <f t="shared" si="22"/>
        <v>2.6437649104775613</v>
      </c>
      <c r="Q48" s="31"/>
      <c r="R48" s="58">
        <v>2.6437649104775613</v>
      </c>
      <c r="S48" s="4"/>
      <c r="T48" s="10">
        <v>11</v>
      </c>
      <c r="U48" s="10" t="s">
        <v>144</v>
      </c>
      <c r="V48" s="78">
        <f>_xll.HumidairTdbRHPsi(H48, I48,M48,U48)</f>
        <v>-4.4736644103438152</v>
      </c>
      <c r="W48" s="79">
        <v>-4.4736644103438152</v>
      </c>
      <c r="X48" s="4"/>
      <c r="Y48" s="16">
        <v>11</v>
      </c>
      <c r="Z48" s="88" t="s">
        <v>145</v>
      </c>
      <c r="AA48" s="78">
        <f>_xll.HumidairTdbRHPsi(H48,I48,M48,Z48)</f>
        <v>46.052078181395892</v>
      </c>
      <c r="AB48" s="81">
        <f t="shared" si="32"/>
        <v>83.052078181395899</v>
      </c>
      <c r="AC48" s="80">
        <v>83.052078181395899</v>
      </c>
      <c r="AE48" s="10" t="s">
        <v>146</v>
      </c>
      <c r="AF48" s="78">
        <f>_xll.HumidairTdbRHPsi(H48,I48,M48,AE48)</f>
        <v>39.249690851044647</v>
      </c>
      <c r="AG48" s="78">
        <f t="shared" si="33"/>
        <v>76.44969085104465</v>
      </c>
      <c r="AH48" s="79">
        <f t="shared" si="34"/>
        <v>76.44969085104465</v>
      </c>
      <c r="AJ48" s="10" t="s">
        <v>150</v>
      </c>
      <c r="AK48" s="84">
        <f>_xll.HumidairTdbRHPsi(H48,I48,M48,AJ48)</f>
        <v>0.89876544456643503</v>
      </c>
      <c r="AL48" s="58">
        <v>0.89876544456643503</v>
      </c>
      <c r="AM48" s="85"/>
      <c r="AN48" s="49">
        <f t="shared" si="23"/>
        <v>0.47265268011644879</v>
      </c>
      <c r="AO48" s="81">
        <f t="shared" si="24"/>
        <v>5.5934622222520973</v>
      </c>
      <c r="AP48" s="81">
        <f t="shared" si="25"/>
        <v>13.663354937896393</v>
      </c>
      <c r="AR48" s="58">
        <v>0.47265268011644879</v>
      </c>
      <c r="AS48" s="80">
        <v>5.5934622222520973</v>
      </c>
      <c r="AT48" s="80">
        <v>13.663354937896393</v>
      </c>
      <c r="AU48" s="140"/>
      <c r="AV48" s="49">
        <f t="shared" si="26"/>
        <v>0.16234731988355122</v>
      </c>
      <c r="AW48" s="162">
        <f t="shared" si="27"/>
        <v>1.6234731988355123E-4</v>
      </c>
      <c r="AX48" s="10">
        <f t="shared" si="28"/>
        <v>76</v>
      </c>
      <c r="AY48" s="55">
        <f t="shared" si="29"/>
        <v>1.027788412718786E-2</v>
      </c>
      <c r="AZ48" s="55">
        <f t="shared" si="30"/>
        <v>6.0351639032224661E-3</v>
      </c>
      <c r="BB48" s="58">
        <v>0.16234731988355122</v>
      </c>
      <c r="BC48" s="167">
        <v>1.6234731988355123E-4</v>
      </c>
      <c r="BD48" s="168">
        <v>76</v>
      </c>
      <c r="BE48" s="170">
        <v>1.027788412718786E-2</v>
      </c>
      <c r="BF48" s="171">
        <v>6.0351639032224661E-3</v>
      </c>
      <c r="BH48" s="81">
        <f t="shared" si="35"/>
        <v>311.13200045460724</v>
      </c>
      <c r="BI48" s="80">
        <v>311.13200045460724</v>
      </c>
      <c r="BK48" s="81">
        <f t="shared" si="36"/>
        <v>83.052078181395899</v>
      </c>
      <c r="BL48" s="81">
        <f t="shared" si="37"/>
        <v>76.44969085104465</v>
      </c>
      <c r="BM48" s="81">
        <f t="shared" si="38"/>
        <v>6.6023873303512488</v>
      </c>
      <c r="BN48" s="192">
        <f t="shared" si="39"/>
        <v>7.949695510244581E-2</v>
      </c>
      <c r="BO48" s="81">
        <f t="shared" si="40"/>
        <v>76</v>
      </c>
      <c r="BP48" s="49">
        <f t="shared" si="41"/>
        <v>6.0417685877858816</v>
      </c>
      <c r="BQ48" s="82">
        <f t="shared" si="42"/>
        <v>1001.0943670576848</v>
      </c>
      <c r="BR48" s="23"/>
      <c r="BS48" s="193">
        <v>1001.0943670576848</v>
      </c>
      <c r="BU48" s="51"/>
    </row>
    <row r="49" spans="1:75" x14ac:dyDescent="0.25">
      <c r="A49">
        <v>12</v>
      </c>
      <c r="B49" s="1" t="s">
        <v>48</v>
      </c>
      <c r="C49" s="9" t="s">
        <v>45</v>
      </c>
      <c r="D49" s="10" t="s">
        <v>46</v>
      </c>
      <c r="E49" s="11" t="s">
        <v>47</v>
      </c>
      <c r="F49" s="33">
        <v>44307</v>
      </c>
      <c r="G49" s="29">
        <v>0.7416666666666667</v>
      </c>
      <c r="H49" s="28">
        <v>31</v>
      </c>
      <c r="I49" s="28">
        <v>70</v>
      </c>
      <c r="J49" s="28" t="s">
        <v>91</v>
      </c>
      <c r="K49" s="10">
        <v>30</v>
      </c>
      <c r="L49" s="47">
        <f>+((101325*(1-(2.25577*10^-5)*(K49))^5.25588))</f>
        <v>100965.12412724759</v>
      </c>
      <c r="M49" s="10">
        <f t="shared" si="21"/>
        <v>1.0096512412724759</v>
      </c>
      <c r="N49" s="10" t="s">
        <v>15</v>
      </c>
      <c r="O49" s="10">
        <f>_xll.HumidairTdbRHPsi(H49,I49,M49,N49)</f>
        <v>2.0101957198055118E-2</v>
      </c>
      <c r="P49" s="49">
        <f t="shared" si="22"/>
        <v>20.101957198055118</v>
      </c>
      <c r="Q49" s="31"/>
      <c r="R49" s="58">
        <v>20.101957198055118</v>
      </c>
      <c r="S49" s="4"/>
      <c r="T49" s="10">
        <v>12</v>
      </c>
      <c r="U49" s="10" t="s">
        <v>144</v>
      </c>
      <c r="V49" s="78">
        <f>_xll.HumidairTdbRHPsi(H49, I49,M49,U49)</f>
        <v>24.886242465853741</v>
      </c>
      <c r="W49" s="79">
        <v>24.886242465853741</v>
      </c>
      <c r="X49" s="4"/>
      <c r="Y49" s="16">
        <v>12</v>
      </c>
      <c r="Z49" s="88" t="s">
        <v>145</v>
      </c>
      <c r="AA49" s="78">
        <f>_xll.HumidairTdbRHPsi(H49,I49,M49,Z49)</f>
        <v>82.593918902311316</v>
      </c>
      <c r="AB49" s="81">
        <f t="shared" si="32"/>
        <v>119.59391890231132</v>
      </c>
      <c r="AC49" s="80">
        <v>119.59391890231132</v>
      </c>
      <c r="AE49" s="10" t="s">
        <v>146</v>
      </c>
      <c r="AF49" s="78">
        <f>_xll.HumidairTdbRHPsi(H49,I49,M49,AE49)</f>
        <v>31.192449726479051</v>
      </c>
      <c r="AG49" s="78">
        <f t="shared" si="33"/>
        <v>68.392449726479057</v>
      </c>
      <c r="AH49" s="79">
        <f t="shared" si="34"/>
        <v>68.392449726479057</v>
      </c>
      <c r="AJ49" s="10" t="s">
        <v>150</v>
      </c>
      <c r="AK49" s="84">
        <f>_xll.HumidairTdbRHPsi(H49,I49,M49,AJ49)</f>
        <v>0.86451131505566747</v>
      </c>
      <c r="AL49" s="58">
        <v>0.86451131505566747</v>
      </c>
      <c r="AM49" s="4"/>
      <c r="AN49" s="49">
        <f t="shared" si="23"/>
        <v>0.49138037729792261</v>
      </c>
      <c r="AO49" s="81">
        <f t="shared" si="24"/>
        <v>40.909157399802631</v>
      </c>
      <c r="AP49" s="81">
        <f t="shared" si="25"/>
        <v>99.930296398555328</v>
      </c>
      <c r="AR49" s="58">
        <v>0.49138037729792261</v>
      </c>
      <c r="AS49" s="80">
        <v>40.909157399802631</v>
      </c>
      <c r="AT49" s="80">
        <v>99.930296398555328</v>
      </c>
      <c r="AU49" s="140"/>
      <c r="AV49" s="49">
        <f t="shared" si="26"/>
        <v>0.1436196227020774</v>
      </c>
      <c r="AW49" s="162">
        <f t="shared" si="27"/>
        <v>1.436196227020774E-4</v>
      </c>
      <c r="AX49" s="10">
        <f t="shared" si="28"/>
        <v>68</v>
      </c>
      <c r="AY49" s="55">
        <f t="shared" si="29"/>
        <v>8.135189908336473E-3</v>
      </c>
      <c r="AZ49" s="55">
        <f t="shared" si="30"/>
        <v>4.7769758710137829E-3</v>
      </c>
      <c r="BB49" s="58">
        <v>0.1436196227020774</v>
      </c>
      <c r="BC49" s="167">
        <v>1.436196227020774E-4</v>
      </c>
      <c r="BD49" s="168">
        <v>68</v>
      </c>
      <c r="BE49" s="170">
        <v>8.135189908336473E-3</v>
      </c>
      <c r="BF49" s="171">
        <v>4.7769758710137829E-3</v>
      </c>
      <c r="BH49" s="81">
        <f t="shared" si="35"/>
        <v>323.4598389142231</v>
      </c>
      <c r="BI49" s="80">
        <v>323.4598389142231</v>
      </c>
      <c r="BK49" s="81">
        <f t="shared" si="36"/>
        <v>119.59391890231132</v>
      </c>
      <c r="BL49" s="81">
        <f t="shared" si="37"/>
        <v>68.392449726479057</v>
      </c>
      <c r="BM49" s="81">
        <f t="shared" si="38"/>
        <v>51.201469175832258</v>
      </c>
      <c r="BN49" s="192">
        <f t="shared" si="39"/>
        <v>0.42812769784436522</v>
      </c>
      <c r="BO49" s="81">
        <f t="shared" si="40"/>
        <v>68</v>
      </c>
      <c r="BP49" s="49">
        <f t="shared" si="41"/>
        <v>29.112683453416835</v>
      </c>
      <c r="BQ49" s="82">
        <f t="shared" si="42"/>
        <v>6094.3752364481716</v>
      </c>
      <c r="BR49" s="23"/>
      <c r="BS49" s="193">
        <v>6094.3752364481716</v>
      </c>
      <c r="BU49" s="51"/>
    </row>
    <row r="50" spans="1:75" x14ac:dyDescent="0.25">
      <c r="A50">
        <v>13</v>
      </c>
      <c r="C50" s="26" t="s">
        <v>49</v>
      </c>
      <c r="D50" s="27" t="s">
        <v>50</v>
      </c>
      <c r="E50" s="10" t="s">
        <v>51</v>
      </c>
      <c r="F50" s="33">
        <v>44308</v>
      </c>
      <c r="G50" s="29">
        <v>3.6111111111111115E-2</v>
      </c>
      <c r="H50" s="28">
        <v>25</v>
      </c>
      <c r="I50" s="28">
        <v>90</v>
      </c>
      <c r="J50" s="28" t="s">
        <v>95</v>
      </c>
      <c r="K50" s="10">
        <v>3</v>
      </c>
      <c r="L50" s="47">
        <f>+((101325*(1-(2.25577*10^-5)*(K50))^5.25588))</f>
        <v>101288.96574192833</v>
      </c>
      <c r="M50" s="10">
        <f t="shared" si="21"/>
        <v>1.0128896574192834</v>
      </c>
      <c r="N50" s="10" t="s">
        <v>15</v>
      </c>
      <c r="O50" s="10">
        <f>_xll.HumidairTdbRHPsi(H50,I50,M50,N50)</f>
        <v>1.8100308855767439E-2</v>
      </c>
      <c r="P50" s="49">
        <f t="shared" si="22"/>
        <v>18.100308855767437</v>
      </c>
      <c r="Q50" s="31"/>
      <c r="R50" s="58">
        <v>18.100308855767437</v>
      </c>
      <c r="S50" s="4"/>
      <c r="T50" s="10">
        <v>13</v>
      </c>
      <c r="U50" s="10" t="s">
        <v>144</v>
      </c>
      <c r="V50" s="78">
        <f>_xll.HumidairTdbRHPsi(H50, I50,M50,U50)</f>
        <v>23.245217213881972</v>
      </c>
      <c r="W50" s="79">
        <v>23.245217213881972</v>
      </c>
      <c r="X50" s="4"/>
      <c r="Y50" s="16">
        <v>13</v>
      </c>
      <c r="Z50" s="88" t="s">
        <v>145</v>
      </c>
      <c r="AA50" s="78">
        <f>_xll.HumidairTdbRHPsi(H50,I50,M50,Z50)</f>
        <v>71.232182905206528</v>
      </c>
      <c r="AB50" s="81">
        <f t="shared" si="32"/>
        <v>108.23218290520653</v>
      </c>
      <c r="AC50" s="80">
        <v>108.23218290520653</v>
      </c>
      <c r="AE50" s="10" t="s">
        <v>146</v>
      </c>
      <c r="AF50" s="78">
        <f>_xll.HumidairTdbRHPsi(H50,I50,M50,AE50)</f>
        <v>25.152450641153379</v>
      </c>
      <c r="AG50" s="78">
        <f t="shared" si="33"/>
        <v>62.352450641153382</v>
      </c>
      <c r="AH50" s="79">
        <f t="shared" si="34"/>
        <v>62.352450641153382</v>
      </c>
      <c r="AJ50" s="10" t="s">
        <v>150</v>
      </c>
      <c r="AK50" s="84">
        <f>_xll.HumidairTdbRHPsi(H50,I50,M50,AJ50)</f>
        <v>0.84470232410962964</v>
      </c>
      <c r="AL50" s="58">
        <v>0.84470232410962964</v>
      </c>
      <c r="AM50" s="4"/>
      <c r="AN50" s="49">
        <f t="shared" si="23"/>
        <v>0.50290366682505305</v>
      </c>
      <c r="AO50" s="81">
        <f t="shared" si="24"/>
        <v>35.991602467404675</v>
      </c>
      <c r="AP50" s="81">
        <f t="shared" si="25"/>
        <v>87.918004941457852</v>
      </c>
      <c r="AR50" s="58">
        <v>0.50290366682505305</v>
      </c>
      <c r="AS50" s="80">
        <v>35.991602467404675</v>
      </c>
      <c r="AT50" s="80">
        <v>87.918004941457852</v>
      </c>
      <c r="AU50" s="140"/>
      <c r="AV50" s="49">
        <f t="shared" si="26"/>
        <v>0.13209633317494696</v>
      </c>
      <c r="AW50" s="162">
        <f t="shared" si="27"/>
        <v>1.3209633317494695E-4</v>
      </c>
      <c r="AX50" s="10">
        <f t="shared" si="28"/>
        <v>62</v>
      </c>
      <c r="AY50" s="55">
        <f t="shared" si="29"/>
        <v>6.8222472231533101E-3</v>
      </c>
      <c r="AZ50" s="55">
        <f t="shared" si="30"/>
        <v>4.0060171598081682E-3</v>
      </c>
      <c r="BB50" s="58">
        <v>0.13209633317494696</v>
      </c>
      <c r="BC50" s="167">
        <v>1.3209633317494695E-4</v>
      </c>
      <c r="BD50" s="168">
        <v>62</v>
      </c>
      <c r="BE50" s="170">
        <v>6.8222472231533101E-3</v>
      </c>
      <c r="BF50" s="171">
        <v>4.0060171598081682E-3</v>
      </c>
      <c r="BH50" s="81">
        <f t="shared" si="35"/>
        <v>331.04524839822386</v>
      </c>
      <c r="BI50" s="80">
        <v>331.04524839822386</v>
      </c>
      <c r="BK50" s="81">
        <f t="shared" si="36"/>
        <v>108.23218290520653</v>
      </c>
      <c r="BL50" s="81">
        <f t="shared" si="37"/>
        <v>62.352450641153382</v>
      </c>
      <c r="BM50" s="81">
        <f t="shared" si="38"/>
        <v>45.879732264053146</v>
      </c>
      <c r="BN50" s="192">
        <f t="shared" si="39"/>
        <v>0.42390101569175775</v>
      </c>
      <c r="BO50" s="81">
        <f t="shared" si="40"/>
        <v>62</v>
      </c>
      <c r="BP50" s="49">
        <f t="shared" si="41"/>
        <v>26.28186297288898</v>
      </c>
      <c r="BQ50" s="82">
        <f t="shared" si="42"/>
        <v>6560.5967035217373</v>
      </c>
      <c r="BR50" s="23"/>
      <c r="BS50" s="193">
        <v>6560.5967035217373</v>
      </c>
      <c r="BU50" s="51"/>
      <c r="BW50" s="141"/>
    </row>
    <row r="51" spans="1:75" x14ac:dyDescent="0.25">
      <c r="A51" s="5">
        <v>14</v>
      </c>
      <c r="B51" s="14"/>
      <c r="C51" s="9" t="s">
        <v>172</v>
      </c>
      <c r="D51" s="10" t="s">
        <v>83</v>
      </c>
      <c r="E51" s="10" t="s">
        <v>84</v>
      </c>
      <c r="F51" s="35">
        <v>44307</v>
      </c>
      <c r="G51" s="29">
        <v>0.82708333333333339</v>
      </c>
      <c r="H51" s="28">
        <v>32</v>
      </c>
      <c r="I51" s="28">
        <v>62</v>
      </c>
      <c r="J51" s="28" t="s">
        <v>85</v>
      </c>
      <c r="K51" s="10">
        <v>61</v>
      </c>
      <c r="L51" s="47">
        <f>+((101325*(1-(2.25577*10^-5)*(K51))^5.25588))</f>
        <v>100594.34040699142</v>
      </c>
      <c r="M51" s="10">
        <f t="shared" si="21"/>
        <v>1.0059434040699142</v>
      </c>
      <c r="N51" s="10" t="s">
        <v>15</v>
      </c>
      <c r="O51" s="10">
        <f>_xll.HumidairTdbRHPsi(H51,I51,M51,N51)</f>
        <v>1.8878436796670138E-2</v>
      </c>
      <c r="P51" s="49">
        <f t="shared" si="22"/>
        <v>18.878436796670137</v>
      </c>
      <c r="Q51" s="31"/>
      <c r="R51" s="58">
        <v>18.878436796670137</v>
      </c>
      <c r="S51" s="4"/>
      <c r="T51" s="10">
        <v>14</v>
      </c>
      <c r="U51" s="10" t="s">
        <v>144</v>
      </c>
      <c r="V51" s="78">
        <f>_xll.HumidairTdbRHPsi(H51, I51,M51,U51)</f>
        <v>23.809180646469656</v>
      </c>
      <c r="W51" s="79">
        <v>23.809180646469656</v>
      </c>
      <c r="X51" s="4"/>
      <c r="Y51" s="16">
        <v>14</v>
      </c>
      <c r="Z51" s="88" t="s">
        <v>145</v>
      </c>
      <c r="AA51" s="78">
        <f>_xll.HumidairTdbRHPsi(H51,I51,M51,Z51)</f>
        <v>80.509854697652074</v>
      </c>
      <c r="AB51" s="81">
        <f t="shared" si="32"/>
        <v>117.50985469765207</v>
      </c>
      <c r="AC51" s="80">
        <v>117.50985469765207</v>
      </c>
      <c r="AE51" s="10" t="s">
        <v>146</v>
      </c>
      <c r="AF51" s="78">
        <f>_xll.HumidairTdbRHPsi(H51,I51,M51,AE51)</f>
        <v>32.199936526818696</v>
      </c>
      <c r="AG51" s="78">
        <f t="shared" si="33"/>
        <v>69.399936526818692</v>
      </c>
      <c r="AH51" s="79">
        <f t="shared" si="34"/>
        <v>69.399936526818692</v>
      </c>
      <c r="AJ51" s="10" t="s">
        <v>150</v>
      </c>
      <c r="AK51" s="84">
        <f>_xll.HumidairTdbRHPsi(H51,I51,M51,AJ51)</f>
        <v>0.87055874606862371</v>
      </c>
      <c r="AL51" s="58">
        <v>0.87055874606862371</v>
      </c>
      <c r="AM51" s="4"/>
      <c r="AN51" s="49">
        <f t="shared" si="23"/>
        <v>0.48796695006369051</v>
      </c>
      <c r="AO51" s="81">
        <f t="shared" si="24"/>
        <v>38.687941456293466</v>
      </c>
      <c r="AP51" s="81">
        <f t="shared" si="25"/>
        <v>94.504450898223936</v>
      </c>
      <c r="AR51" s="58">
        <v>0.48796695006369051</v>
      </c>
      <c r="AS51" s="80">
        <v>38.687941456293466</v>
      </c>
      <c r="AT51" s="80">
        <v>94.504450898223936</v>
      </c>
      <c r="AU51" s="140"/>
      <c r="AV51" s="49">
        <f t="shared" si="26"/>
        <v>0.1470330499363095</v>
      </c>
      <c r="AW51" s="162">
        <f t="shared" si="27"/>
        <v>1.4703304993630951E-4</v>
      </c>
      <c r="AX51" s="10">
        <f t="shared" si="28"/>
        <v>69</v>
      </c>
      <c r="AY51" s="55">
        <f t="shared" si="29"/>
        <v>8.4510186111892618E-3</v>
      </c>
      <c r="AZ51" s="55">
        <f t="shared" si="30"/>
        <v>4.9624301886020327E-3</v>
      </c>
      <c r="BB51" s="58">
        <v>0.1470330499363095</v>
      </c>
      <c r="BC51" s="167">
        <v>1.4703304993630951E-4</v>
      </c>
      <c r="BD51" s="168">
        <v>69</v>
      </c>
      <c r="BE51" s="170">
        <v>8.4510186111892618E-3</v>
      </c>
      <c r="BF51" s="171">
        <v>4.9624301886020327E-3</v>
      </c>
      <c r="BH51" s="81">
        <f t="shared" si="35"/>
        <v>321.21288996318526</v>
      </c>
      <c r="BI51" s="80">
        <v>321.21288996318526</v>
      </c>
      <c r="BK51" s="81">
        <f t="shared" si="36"/>
        <v>117.50985469765207</v>
      </c>
      <c r="BL51" s="81">
        <f t="shared" si="37"/>
        <v>69.399936526818692</v>
      </c>
      <c r="BM51" s="81">
        <f t="shared" si="38"/>
        <v>48.109918170833382</v>
      </c>
      <c r="BN51" s="192">
        <f t="shared" si="39"/>
        <v>0.40941177482193458</v>
      </c>
      <c r="BO51" s="81">
        <f t="shared" si="40"/>
        <v>69</v>
      </c>
      <c r="BP51" s="49">
        <f t="shared" si="41"/>
        <v>28.249412462713487</v>
      </c>
      <c r="BQ51" s="82">
        <f t="shared" si="42"/>
        <v>5692.6569017732891</v>
      </c>
      <c r="BR51" s="23"/>
      <c r="BS51" s="193">
        <v>5692.6569017732891</v>
      </c>
      <c r="BU51" s="51"/>
    </row>
    <row r="52" spans="1:75" x14ac:dyDescent="0.25">
      <c r="A52">
        <v>15</v>
      </c>
      <c r="C52" s="9" t="s">
        <v>52</v>
      </c>
      <c r="D52" s="10" t="s">
        <v>53</v>
      </c>
      <c r="E52" s="10" t="s">
        <v>54</v>
      </c>
      <c r="F52" s="33">
        <v>44307</v>
      </c>
      <c r="G52" s="29">
        <v>0.53263888888888888</v>
      </c>
      <c r="H52" s="28">
        <v>20</v>
      </c>
      <c r="I52" s="28">
        <v>42</v>
      </c>
      <c r="J52" s="28" t="s">
        <v>75</v>
      </c>
      <c r="K52" s="10">
        <v>533</v>
      </c>
      <c r="L52" s="47">
        <f t="shared" si="31"/>
        <v>95083.68775760736</v>
      </c>
      <c r="M52" s="10">
        <f t="shared" si="21"/>
        <v>0.9508368775760736</v>
      </c>
      <c r="N52" s="10" t="s">
        <v>15</v>
      </c>
      <c r="O52" s="10">
        <f>_xll.HumidairTdbRHPsi(H52,I52,M52,N52)</f>
        <v>6.5182025285741426E-3</v>
      </c>
      <c r="P52" s="49">
        <f t="shared" si="22"/>
        <v>6.5182025285741423</v>
      </c>
      <c r="Q52" s="31"/>
      <c r="R52" s="58">
        <v>6.5182025285741423</v>
      </c>
      <c r="S52" s="4"/>
      <c r="T52" s="10">
        <v>15</v>
      </c>
      <c r="U52" s="10" t="s">
        <v>144</v>
      </c>
      <c r="V52" s="78">
        <f>_xll.HumidairTdbRHPsi(H52, I52,M52,U52)</f>
        <v>6.7139476712785608</v>
      </c>
      <c r="W52" s="79">
        <v>6.7139476712785608</v>
      </c>
      <c r="X52" s="4"/>
      <c r="Y52" s="16">
        <v>15</v>
      </c>
      <c r="Z52" s="88" t="s">
        <v>145</v>
      </c>
      <c r="AA52" s="78">
        <f>_xll.HumidairTdbRHPsi(H52,I52,M52,Z52)</f>
        <v>36.6735159654908</v>
      </c>
      <c r="AB52" s="81">
        <f t="shared" si="32"/>
        <v>73.673515965490793</v>
      </c>
      <c r="AC52" s="80">
        <v>73.673515965490793</v>
      </c>
      <c r="AE52" s="10" t="s">
        <v>146</v>
      </c>
      <c r="AF52" s="78">
        <f>_xll.HumidairTdbRHPsi(H52,I52,M52,AE52)</f>
        <v>20.135500117472262</v>
      </c>
      <c r="AG52" s="78">
        <f t="shared" si="33"/>
        <v>57.335500117472264</v>
      </c>
      <c r="AH52" s="79">
        <f t="shared" si="34"/>
        <v>57.335500117472264</v>
      </c>
      <c r="AJ52" s="10" t="s">
        <v>150</v>
      </c>
      <c r="AK52" s="84">
        <f>_xll.HumidairTdbRHPsi(H52,I52,M52,AJ52)</f>
        <v>0.8847157218341648</v>
      </c>
      <c r="AL52" s="58">
        <v>0.8847157218341648</v>
      </c>
      <c r="AM52" s="4"/>
      <c r="AN52" s="49">
        <f t="shared" si="23"/>
        <v>0.48015863817779464</v>
      </c>
      <c r="AO52" s="81">
        <f t="shared" si="24"/>
        <v>13.57510208149283</v>
      </c>
      <c r="AP52" s="81">
        <f t="shared" si="25"/>
        <v>33.160398816983914</v>
      </c>
      <c r="AR52" s="58">
        <v>0.48015863817779464</v>
      </c>
      <c r="AS52" s="80">
        <v>13.57510208149283</v>
      </c>
      <c r="AT52" s="80">
        <v>33.160398816983914</v>
      </c>
      <c r="AU52" s="140"/>
      <c r="AV52" s="49">
        <f t="shared" si="26"/>
        <v>0.15484136182220537</v>
      </c>
      <c r="AW52" s="162">
        <f t="shared" si="27"/>
        <v>1.5484136182220538E-4</v>
      </c>
      <c r="AX52" s="10">
        <f t="shared" si="28"/>
        <v>57</v>
      </c>
      <c r="AY52" s="55">
        <f t="shared" si="29"/>
        <v>7.3520227006801326E-3</v>
      </c>
      <c r="AZ52" s="55">
        <f t="shared" si="30"/>
        <v>4.3171008224780578E-3</v>
      </c>
      <c r="BB52" s="58">
        <v>0.15484136182220537</v>
      </c>
      <c r="BC52" s="167">
        <v>1.5484136182220538E-4</v>
      </c>
      <c r="BD52" s="168">
        <v>57</v>
      </c>
      <c r="BE52" s="170">
        <v>7.3520227006801326E-3</v>
      </c>
      <c r="BF52" s="171">
        <v>4.3171008224780578E-3</v>
      </c>
      <c r="BH52" s="81">
        <f t="shared" si="35"/>
        <v>316.07293032806007</v>
      </c>
      <c r="BI52" s="80">
        <v>316.07293032806007</v>
      </c>
      <c r="BK52" s="81">
        <f t="shared" si="36"/>
        <v>73.673515965490793</v>
      </c>
      <c r="BL52" s="81">
        <f t="shared" si="37"/>
        <v>57.335500117472264</v>
      </c>
      <c r="BM52" s="81">
        <f t="shared" si="38"/>
        <v>16.338015848018529</v>
      </c>
      <c r="BN52" s="192">
        <f t="shared" si="39"/>
        <v>0.22176240177910572</v>
      </c>
      <c r="BO52" s="81">
        <f t="shared" si="40"/>
        <v>57</v>
      </c>
      <c r="BP52" s="49">
        <f t="shared" si="41"/>
        <v>12.640456901409026</v>
      </c>
      <c r="BQ52" s="82">
        <f t="shared" si="42"/>
        <v>2927.9966860151485</v>
      </c>
      <c r="BR52" s="23"/>
      <c r="BS52" s="193">
        <v>2927.9966860151485</v>
      </c>
      <c r="BU52" s="51"/>
    </row>
    <row r="53" spans="1:75" x14ac:dyDescent="0.25">
      <c r="A53">
        <v>16</v>
      </c>
      <c r="C53" s="9" t="s">
        <v>55</v>
      </c>
      <c r="D53" s="10" t="s">
        <v>56</v>
      </c>
      <c r="E53" s="11" t="s">
        <v>57</v>
      </c>
      <c r="F53" s="35">
        <v>44307</v>
      </c>
      <c r="G53" s="29">
        <v>0.78263888888888899</v>
      </c>
      <c r="H53" s="28">
        <v>20</v>
      </c>
      <c r="I53" s="28">
        <v>88</v>
      </c>
      <c r="J53" s="28" t="s">
        <v>88</v>
      </c>
      <c r="K53" s="10">
        <v>61</v>
      </c>
      <c r="L53" s="47">
        <f t="shared" si="31"/>
        <v>100594.34040699142</v>
      </c>
      <c r="M53" s="10">
        <f t="shared" si="21"/>
        <v>1.0059434040699142</v>
      </c>
      <c r="N53" s="10" t="s">
        <v>15</v>
      </c>
      <c r="O53" s="10">
        <f>_xll.HumidairTdbRHPsi(H53,I53,M53,N53)</f>
        <v>1.3045207896386111E-2</v>
      </c>
      <c r="P53" s="49">
        <f t="shared" si="22"/>
        <v>13.045207896386112</v>
      </c>
      <c r="Q53" s="31"/>
      <c r="R53" s="58">
        <v>13.045207896386112</v>
      </c>
      <c r="S53" s="4"/>
      <c r="T53" s="10">
        <v>16</v>
      </c>
      <c r="U53" s="10" t="s">
        <v>144</v>
      </c>
      <c r="V53" s="78">
        <f>_xll.HumidairTdbRHPsi(H53, I53,M53,U53)</f>
        <v>17.953255365357165</v>
      </c>
      <c r="W53" s="79">
        <v>17.953255365357165</v>
      </c>
      <c r="X53" s="4"/>
      <c r="Y53" s="16">
        <v>16</v>
      </c>
      <c r="Z53" s="88" t="s">
        <v>145</v>
      </c>
      <c r="AA53" s="78">
        <f>_xll.HumidairTdbRHPsi(H53,I53,M53,Z53)</f>
        <v>53.213968115012896</v>
      </c>
      <c r="AB53" s="81">
        <f t="shared" si="32"/>
        <v>90.213968115012904</v>
      </c>
      <c r="AC53" s="80">
        <v>90.213968115012904</v>
      </c>
      <c r="AE53" s="10" t="s">
        <v>146</v>
      </c>
      <c r="AF53" s="78">
        <f>_xll.HumidairTdbRHPsi(H53,I53,M53,AE53)</f>
        <v>20.12232448518543</v>
      </c>
      <c r="AG53" s="78">
        <f t="shared" si="33"/>
        <v>57.322324485185433</v>
      </c>
      <c r="AH53" s="79">
        <f t="shared" si="34"/>
        <v>57.322324485185433</v>
      </c>
      <c r="AJ53" s="10" t="s">
        <v>150</v>
      </c>
      <c r="AK53" s="84">
        <f>_xll.HumidairTdbRHPsi(H53,I53,M53,AJ53)</f>
        <v>0.83623401778994866</v>
      </c>
      <c r="AL53" s="58">
        <v>0.83623401778994866</v>
      </c>
      <c r="AM53" s="23"/>
      <c r="AN53" s="49">
        <f t="shared" si="23"/>
        <v>0.50799643058419852</v>
      </c>
      <c r="AO53" s="81">
        <f t="shared" si="24"/>
        <v>25.679723539364353</v>
      </c>
      <c r="AP53" s="81">
        <f t="shared" si="25"/>
        <v>62.72880078273181</v>
      </c>
      <c r="AR53" s="58">
        <v>0.50799643058419852</v>
      </c>
      <c r="AS53" s="80">
        <v>25.679723539364353</v>
      </c>
      <c r="AT53" s="80">
        <v>62.72880078273181</v>
      </c>
      <c r="AU53" s="140"/>
      <c r="AV53" s="49">
        <f t="shared" si="26"/>
        <v>0.12700356941580149</v>
      </c>
      <c r="AW53" s="162">
        <f t="shared" si="27"/>
        <v>1.2700356941580147E-4</v>
      </c>
      <c r="AX53" s="10">
        <f t="shared" si="28"/>
        <v>57</v>
      </c>
      <c r="AY53" s="55">
        <f t="shared" si="29"/>
        <v>6.0302564794316692E-3</v>
      </c>
      <c r="AZ53" s="55">
        <f t="shared" si="30"/>
        <v>3.5409609391847735E-3</v>
      </c>
      <c r="BB53" s="58">
        <v>0.12700356941580149</v>
      </c>
      <c r="BC53" s="167">
        <v>1.2700356941580147E-4</v>
      </c>
      <c r="BD53" s="168">
        <v>57</v>
      </c>
      <c r="BE53" s="170">
        <v>6.0302564794316692E-3</v>
      </c>
      <c r="BF53" s="171">
        <v>3.5409609391847735E-3</v>
      </c>
      <c r="BH53" s="81">
        <f t="shared" si="35"/>
        <v>334.39765036881101</v>
      </c>
      <c r="BI53" s="80">
        <v>334.39765036881101</v>
      </c>
      <c r="BK53" s="81">
        <f t="shared" si="36"/>
        <v>90.213968115012904</v>
      </c>
      <c r="BL53" s="81">
        <f t="shared" si="37"/>
        <v>57.322324485185433</v>
      </c>
      <c r="BM53" s="81">
        <f t="shared" si="38"/>
        <v>32.89164362982747</v>
      </c>
      <c r="BN53" s="192">
        <f t="shared" si="39"/>
        <v>0.36459590811806702</v>
      </c>
      <c r="BO53" s="81">
        <f t="shared" si="40"/>
        <v>57</v>
      </c>
      <c r="BP53" s="49">
        <f t="shared" si="41"/>
        <v>20.781966762729819</v>
      </c>
      <c r="BQ53" s="82">
        <f t="shared" si="42"/>
        <v>5869.0189244263165</v>
      </c>
      <c r="BR53" s="23"/>
      <c r="BS53" s="193">
        <v>5869.0189244263165</v>
      </c>
      <c r="BU53" s="51"/>
    </row>
    <row r="54" spans="1:75" x14ac:dyDescent="0.25">
      <c r="A54">
        <v>17</v>
      </c>
      <c r="B54" s="1" t="s">
        <v>58</v>
      </c>
      <c r="C54" s="15" t="s">
        <v>59</v>
      </c>
      <c r="D54" s="16" t="s">
        <v>60</v>
      </c>
      <c r="E54" s="4" t="s">
        <v>61</v>
      </c>
      <c r="F54" s="33">
        <v>44308</v>
      </c>
      <c r="G54" s="29">
        <v>0.11458333333333333</v>
      </c>
      <c r="H54" s="28">
        <v>12</v>
      </c>
      <c r="I54" s="28">
        <v>64</v>
      </c>
      <c r="J54" s="36" t="s">
        <v>87</v>
      </c>
      <c r="K54" s="10">
        <v>9</v>
      </c>
      <c r="L54" s="47">
        <f t="shared" si="31"/>
        <v>101216.9283556498</v>
      </c>
      <c r="M54" s="10">
        <f t="shared" si="21"/>
        <v>1.0121692835564979</v>
      </c>
      <c r="N54" s="10" t="s">
        <v>15</v>
      </c>
      <c r="O54" s="10">
        <f>_xll.HumidairTdbRHPsi(H54,I54,M54,N54)</f>
        <v>5.5876864646561839E-3</v>
      </c>
      <c r="P54" s="49">
        <f t="shared" si="22"/>
        <v>5.5876864646561835</v>
      </c>
      <c r="Q54" s="31"/>
      <c r="R54" s="58">
        <v>5.5876864646561835</v>
      </c>
      <c r="S54" s="4"/>
      <c r="T54" s="10">
        <v>17</v>
      </c>
      <c r="U54" s="10" t="s">
        <v>144</v>
      </c>
      <c r="V54" s="78">
        <f>_xll.HumidairTdbRHPsi(H54, I54,M54,U54)</f>
        <v>5.4089044519890876</v>
      </c>
      <c r="W54" s="79">
        <v>5.4089044519890876</v>
      </c>
      <c r="X54" s="4"/>
      <c r="Y54" s="16">
        <v>17</v>
      </c>
      <c r="Z54" s="88" t="s">
        <v>145</v>
      </c>
      <c r="AA54" s="78">
        <f>_xll.HumidairTdbRHPsi(H54,I54,M54,Z54)</f>
        <v>26.16468135192904</v>
      </c>
      <c r="AB54" s="81">
        <f t="shared" si="32"/>
        <v>63.16468135192904</v>
      </c>
      <c r="AC54" s="80">
        <v>63.16468135192904</v>
      </c>
      <c r="AE54" s="10" t="s">
        <v>146</v>
      </c>
      <c r="AF54" s="78">
        <f>_xll.HumidairTdbRHPsi(H54,I54,M54,AE54)</f>
        <v>12.071520699860102</v>
      </c>
      <c r="AG54" s="78">
        <f t="shared" si="33"/>
        <v>49.271520699860105</v>
      </c>
      <c r="AH54" s="79">
        <f t="shared" si="34"/>
        <v>49.271520699860105</v>
      </c>
      <c r="AJ54" s="10" t="s">
        <v>150</v>
      </c>
      <c r="AK54" s="84">
        <f>_xll.HumidairTdbRHPsi(H54,I54,M54,AJ54)</f>
        <v>0.80834107140145739</v>
      </c>
      <c r="AL54" s="58">
        <v>0.80834107140145739</v>
      </c>
      <c r="AM54" s="23"/>
      <c r="AN54" s="49">
        <f t="shared" si="23"/>
        <v>0.52552556241374138</v>
      </c>
      <c r="AO54" s="81">
        <f t="shared" si="24"/>
        <v>10.632568354985271</v>
      </c>
      <c r="AP54" s="81">
        <f t="shared" si="25"/>
        <v>25.972563961845474</v>
      </c>
      <c r="AR54" s="58">
        <v>0.52552556241374138</v>
      </c>
      <c r="AS54" s="80">
        <v>10.632568354985271</v>
      </c>
      <c r="AT54" s="80">
        <v>25.972563961845474</v>
      </c>
      <c r="AU54" s="140"/>
      <c r="AV54" s="49">
        <f t="shared" si="26"/>
        <v>0.10947443758625863</v>
      </c>
      <c r="AW54" s="162">
        <f t="shared" si="27"/>
        <v>1.0947443758625863E-4</v>
      </c>
      <c r="AX54" s="10">
        <f t="shared" si="28"/>
        <v>49</v>
      </c>
      <c r="AY54" s="55">
        <f t="shared" si="29"/>
        <v>4.4684181189583181E-3</v>
      </c>
      <c r="AZ54" s="55">
        <f t="shared" si="30"/>
        <v>2.6238509212908501E-3</v>
      </c>
      <c r="BA54" s="1"/>
      <c r="BB54" s="58">
        <v>0.10947443758625863</v>
      </c>
      <c r="BC54" s="167">
        <v>1.0947443758625863E-4</v>
      </c>
      <c r="BD54" s="168">
        <v>49</v>
      </c>
      <c r="BE54" s="170">
        <v>4.4684181189583181E-3</v>
      </c>
      <c r="BF54" s="171">
        <v>2.6238509212908501E-3</v>
      </c>
      <c r="BH54" s="81">
        <f t="shared" si="35"/>
        <v>345.93651195109271</v>
      </c>
      <c r="BI54" s="80">
        <v>345.93651195109271</v>
      </c>
      <c r="BK54" s="81">
        <f t="shared" si="36"/>
        <v>63.16468135192904</v>
      </c>
      <c r="BL54" s="81">
        <f t="shared" si="37"/>
        <v>49.271520699860105</v>
      </c>
      <c r="BM54" s="81">
        <f t="shared" si="38"/>
        <v>13.893160652068936</v>
      </c>
      <c r="BN54" s="192">
        <f t="shared" si="39"/>
        <v>0.21995140883655612</v>
      </c>
      <c r="BO54" s="81">
        <f t="shared" si="40"/>
        <v>49</v>
      </c>
      <c r="BP54" s="49">
        <f t="shared" si="41"/>
        <v>10.77761903299125</v>
      </c>
      <c r="BQ54" s="82">
        <f t="shared" si="42"/>
        <v>4107.5576914594712</v>
      </c>
      <c r="BR54" s="23"/>
      <c r="BS54" s="193">
        <v>4107.5576914594712</v>
      </c>
      <c r="BU54" s="51"/>
    </row>
    <row r="55" spans="1:75" x14ac:dyDescent="0.25">
      <c r="A55">
        <v>18</v>
      </c>
      <c r="C55" s="9" t="s">
        <v>62</v>
      </c>
      <c r="D55" s="10" t="s">
        <v>63</v>
      </c>
      <c r="E55" s="11" t="s">
        <v>64</v>
      </c>
      <c r="F55" s="33">
        <v>44308</v>
      </c>
      <c r="G55" s="29">
        <v>0.20138888888888887</v>
      </c>
      <c r="H55" s="28">
        <v>11</v>
      </c>
      <c r="I55" s="28">
        <v>92</v>
      </c>
      <c r="J55" s="28" t="s">
        <v>94</v>
      </c>
      <c r="K55" s="10">
        <v>6</v>
      </c>
      <c r="L55" s="47">
        <f t="shared" si="31"/>
        <v>101252.94186124044</v>
      </c>
      <c r="M55" s="10">
        <f t="shared" si="21"/>
        <v>1.0125294186124043</v>
      </c>
      <c r="N55" s="10" t="s">
        <v>15</v>
      </c>
      <c r="O55" s="10">
        <f>_xll.HumidairTdbRHPsi(H55,I55,M55,N55)</f>
        <v>7.5383712797748728E-3</v>
      </c>
      <c r="P55" s="49">
        <f t="shared" si="22"/>
        <v>7.5383712797748732</v>
      </c>
      <c r="Q55" s="31"/>
      <c r="R55" s="58">
        <v>7.5383712797748732</v>
      </c>
      <c r="S55" s="4"/>
      <c r="T55" s="82">
        <v>18</v>
      </c>
      <c r="U55" s="10" t="s">
        <v>144</v>
      </c>
      <c r="V55" s="78">
        <f>_xll.HumidairTdbRHPsi(H55, I55,M55,U55)</f>
        <v>9.7518809028508144</v>
      </c>
      <c r="W55" s="79">
        <v>9.7518809028508144</v>
      </c>
      <c r="X55" s="4"/>
      <c r="Y55" s="89">
        <v>18</v>
      </c>
      <c r="Z55" s="88" t="s">
        <v>145</v>
      </c>
      <c r="AA55" s="78">
        <f>_xll.HumidairTdbRHPsi(H55,I55,M55,Z55)</f>
        <v>30.063140224157024</v>
      </c>
      <c r="AB55" s="81">
        <f t="shared" si="32"/>
        <v>67.063140224157024</v>
      </c>
      <c r="AC55" s="80">
        <v>67.063140224157024</v>
      </c>
      <c r="AE55" s="10" t="s">
        <v>146</v>
      </c>
      <c r="AF55" s="78">
        <f>_xll.HumidairTdbRHPsi(H55,I55,M55,AE55)</f>
        <v>11.065380398207038</v>
      </c>
      <c r="AG55" s="78">
        <f t="shared" si="33"/>
        <v>48.265380398207043</v>
      </c>
      <c r="AH55" s="79">
        <f t="shared" si="34"/>
        <v>48.265380398207043</v>
      </c>
      <c r="AJ55" s="10" t="s">
        <v>150</v>
      </c>
      <c r="AK55" s="84">
        <f>_xll.HumidairTdbRHPsi(H55,I55,M55,AJ55)</f>
        <v>0.80521072807188498</v>
      </c>
      <c r="AL55" s="58">
        <v>0.80521072807188498</v>
      </c>
      <c r="AM55" s="4"/>
      <c r="AN55" s="49">
        <f t="shared" si="23"/>
        <v>0.52756859957341862</v>
      </c>
      <c r="AO55" s="81">
        <f t="shared" si="24"/>
        <v>14.288893019543334</v>
      </c>
      <c r="AP55" s="81">
        <f t="shared" si="25"/>
        <v>34.904002072091139</v>
      </c>
      <c r="AR55" s="58">
        <v>0.52756859957341862</v>
      </c>
      <c r="AS55" s="80">
        <v>14.288893019543334</v>
      </c>
      <c r="AT55" s="80">
        <v>34.904002072091139</v>
      </c>
      <c r="AU55" s="140"/>
      <c r="AV55" s="49">
        <f t="shared" si="26"/>
        <v>0.10743140042658139</v>
      </c>
      <c r="AW55" s="162">
        <f t="shared" si="27"/>
        <v>1.0743140042658139E-4</v>
      </c>
      <c r="AX55" s="10">
        <f t="shared" si="28"/>
        <v>48</v>
      </c>
      <c r="AY55" s="55">
        <f t="shared" si="29"/>
        <v>4.2955371146564296E-3</v>
      </c>
      <c r="AZ55" s="55">
        <f t="shared" si="30"/>
        <v>2.5223353579896827E-3</v>
      </c>
      <c r="BB55" s="58">
        <v>0.10743140042658139</v>
      </c>
      <c r="BC55" s="167">
        <v>1.0743140042658139E-4</v>
      </c>
      <c r="BD55" s="168">
        <v>48</v>
      </c>
      <c r="BE55" s="170">
        <v>4.2955371146564296E-3</v>
      </c>
      <c r="BF55" s="171">
        <v>2.5223353579896827E-3</v>
      </c>
      <c r="BH55" s="81">
        <f t="shared" si="35"/>
        <v>347.2813773569905</v>
      </c>
      <c r="BI55" s="80">
        <v>347.2813773569905</v>
      </c>
      <c r="BK55" s="81">
        <f t="shared" si="36"/>
        <v>67.063140224157024</v>
      </c>
      <c r="BL55" s="81">
        <f t="shared" si="37"/>
        <v>48.265380398207043</v>
      </c>
      <c r="BM55" s="81">
        <f t="shared" si="38"/>
        <v>18.797759825949981</v>
      </c>
      <c r="BN55" s="192">
        <f t="shared" si="39"/>
        <v>0.28029942772018868</v>
      </c>
      <c r="BO55" s="81">
        <f t="shared" si="40"/>
        <v>48</v>
      </c>
      <c r="BP55" s="49">
        <f t="shared" si="41"/>
        <v>13.454372530569056</v>
      </c>
      <c r="BQ55" s="82">
        <f t="shared" si="42"/>
        <v>5334.0934574585181</v>
      </c>
      <c r="BR55" s="23"/>
      <c r="BS55" s="193">
        <v>5334.0934574585181</v>
      </c>
      <c r="BU55" s="51"/>
    </row>
    <row r="56" spans="1:75" x14ac:dyDescent="0.25">
      <c r="A56" s="5">
        <v>19</v>
      </c>
      <c r="B56" s="14"/>
      <c r="C56" s="15" t="s">
        <v>65</v>
      </c>
      <c r="D56" s="16" t="s">
        <v>66</v>
      </c>
      <c r="E56" s="4" t="s">
        <v>67</v>
      </c>
      <c r="F56" s="33">
        <v>44307</v>
      </c>
      <c r="G56" s="29">
        <v>0.57500000000000007</v>
      </c>
      <c r="H56" s="28">
        <v>4</v>
      </c>
      <c r="I56" s="28">
        <v>86</v>
      </c>
      <c r="J56" s="28" t="s">
        <v>90</v>
      </c>
      <c r="K56" s="10">
        <v>15</v>
      </c>
      <c r="L56" s="47">
        <f t="shared" si="31"/>
        <v>101144.93246061618</v>
      </c>
      <c r="M56" s="10">
        <f t="shared" si="21"/>
        <v>1.0114493246061618</v>
      </c>
      <c r="N56" s="10" t="s">
        <v>15</v>
      </c>
      <c r="O56" s="10">
        <f>_xll.HumidairTdbRHPsi(H56,I56,M56,N56)</f>
        <v>4.3491501706636598E-3</v>
      </c>
      <c r="P56" s="49">
        <f t="shared" si="22"/>
        <v>4.3491501706636599</v>
      </c>
      <c r="Q56" s="31"/>
      <c r="R56" s="58">
        <v>4.3491501706636599</v>
      </c>
      <c r="S56" s="4"/>
      <c r="T56" s="82">
        <v>19</v>
      </c>
      <c r="U56" s="10" t="s">
        <v>144</v>
      </c>
      <c r="V56" s="78">
        <f>_xll.HumidairTdbRHPsi(H56, I56,M56,U56)</f>
        <v>1.8732965765328231</v>
      </c>
      <c r="W56" s="79">
        <v>1.8732965765328231</v>
      </c>
      <c r="X56" s="4"/>
      <c r="Y56" s="89">
        <v>19</v>
      </c>
      <c r="Z56" s="88" t="s">
        <v>145</v>
      </c>
      <c r="AA56" s="78">
        <f>_xll.HumidairTdbRHPsi(H56,I56,M56,Z56)</f>
        <v>14.928502062807928</v>
      </c>
      <c r="AB56" s="81">
        <f t="shared" si="32"/>
        <v>51.928502062807929</v>
      </c>
      <c r="AC56" s="80">
        <v>51.928502062807929</v>
      </c>
      <c r="AE56" s="10" t="s">
        <v>146</v>
      </c>
      <c r="AF56" s="78">
        <f>_xll.HumidairTdbRHPsi(H56,I56,M56,AE56)</f>
        <v>4.0239329597506703</v>
      </c>
      <c r="AG56" s="78">
        <f t="shared" si="33"/>
        <v>41.22393295975067</v>
      </c>
      <c r="AH56" s="79">
        <f t="shared" si="34"/>
        <v>41.22393295975067</v>
      </c>
      <c r="AJ56" s="10" t="s">
        <v>150</v>
      </c>
      <c r="AK56" s="84">
        <f>_xll.HumidairTdbRHPsi(H56,I56,M56,AJ56)</f>
        <v>0.78614892207653608</v>
      </c>
      <c r="AL56" s="58">
        <v>0.78614892207653608</v>
      </c>
      <c r="AN56" s="49">
        <f t="shared" si="23"/>
        <v>0.5403605910293674</v>
      </c>
      <c r="AO56" s="81">
        <f t="shared" si="24"/>
        <v>8.0486072501673114</v>
      </c>
      <c r="AP56" s="81">
        <f t="shared" si="25"/>
        <v>19.660627576471697</v>
      </c>
      <c r="AR56" s="58">
        <v>0.5403605910293674</v>
      </c>
      <c r="AS56" s="80">
        <v>8.0486072501673114</v>
      </c>
      <c r="AT56" s="80">
        <v>19.660627576471697</v>
      </c>
      <c r="AU56" s="140"/>
      <c r="AV56" s="49">
        <f t="shared" si="26"/>
        <v>9.463940897063261E-2</v>
      </c>
      <c r="AW56" s="162">
        <f t="shared" si="27"/>
        <v>9.4639408970632614E-5</v>
      </c>
      <c r="AX56" s="10">
        <f t="shared" si="28"/>
        <v>41</v>
      </c>
      <c r="AY56" s="55">
        <f t="shared" si="29"/>
        <v>3.2322197345740155E-3</v>
      </c>
      <c r="AZ56" s="55">
        <f t="shared" si="30"/>
        <v>1.8979563914116356E-3</v>
      </c>
      <c r="BB56" s="58">
        <v>9.463940897063261E-2</v>
      </c>
      <c r="BC56" s="167">
        <v>9.4639408970632614E-5</v>
      </c>
      <c r="BD56" s="168">
        <v>41</v>
      </c>
      <c r="BE56" s="170">
        <v>3.2322197345740155E-3</v>
      </c>
      <c r="BF56" s="171">
        <v>1.8979563914116356E-3</v>
      </c>
      <c r="BH56" s="81">
        <f t="shared" si="35"/>
        <v>355.70193236263867</v>
      </c>
      <c r="BI56" s="80">
        <v>355.70193236263867</v>
      </c>
      <c r="BK56" s="81">
        <f t="shared" si="36"/>
        <v>51.928502062807929</v>
      </c>
      <c r="BL56" s="81">
        <f t="shared" si="37"/>
        <v>41.22393295975067</v>
      </c>
      <c r="BM56" s="81">
        <f t="shared" si="38"/>
        <v>10.70456910305726</v>
      </c>
      <c r="BN56" s="192">
        <f t="shared" si="39"/>
        <v>0.20614053319138687</v>
      </c>
      <c r="BO56" s="81">
        <f t="shared" si="40"/>
        <v>41</v>
      </c>
      <c r="BP56" s="49">
        <f t="shared" si="41"/>
        <v>8.4517618608468617</v>
      </c>
      <c r="BQ56" s="82">
        <f t="shared" si="42"/>
        <v>4453.0853812508976</v>
      </c>
      <c r="BR56" s="23"/>
      <c r="BS56" s="193">
        <v>4453.0853812508976</v>
      </c>
      <c r="BU56" s="51"/>
    </row>
    <row r="57" spans="1:75" x14ac:dyDescent="0.25">
      <c r="A57" s="5">
        <v>20</v>
      </c>
      <c r="B57" s="17" t="s">
        <v>68</v>
      </c>
      <c r="C57" s="9" t="s">
        <v>69</v>
      </c>
      <c r="D57" s="10" t="s">
        <v>70</v>
      </c>
      <c r="E57" s="18" t="s">
        <v>71</v>
      </c>
      <c r="F57" s="33">
        <v>44308</v>
      </c>
      <c r="G57" s="29">
        <v>0.20069444444444443</v>
      </c>
      <c r="H57" s="28">
        <v>-37</v>
      </c>
      <c r="I57" s="28">
        <v>63</v>
      </c>
      <c r="J57" s="28" t="s">
        <v>87</v>
      </c>
      <c r="K57" s="10">
        <v>10</v>
      </c>
      <c r="L57" s="47">
        <f t="shared" si="31"/>
        <v>101204.92615896827</v>
      </c>
      <c r="M57" s="10">
        <f t="shared" si="21"/>
        <v>1.0120492615896828</v>
      </c>
      <c r="N57" s="10" t="s">
        <v>15</v>
      </c>
      <c r="O57" s="10">
        <f>_xll.HumidairTdbRHPsi(H57,I57,M57,N57)</f>
        <v>6.9893697571379745E-5</v>
      </c>
      <c r="P57" s="49">
        <f t="shared" si="22"/>
        <v>6.989369757137974E-2</v>
      </c>
      <c r="Q57" s="31"/>
      <c r="R57" s="58">
        <v>6.989369757137974E-2</v>
      </c>
      <c r="S57" s="4"/>
      <c r="T57" s="82">
        <v>20</v>
      </c>
      <c r="U57" s="10" t="s">
        <v>144</v>
      </c>
      <c r="V57" s="78">
        <f>_xll.HumidairTdbRHPsi(H57, I57,M57,U57)</f>
        <v>-41.117818641941568</v>
      </c>
      <c r="W57" s="79">
        <v>-41.117818641941568</v>
      </c>
      <c r="X57" s="4"/>
      <c r="Y57" s="90">
        <v>20</v>
      </c>
      <c r="Z57" s="88" t="s">
        <v>145</v>
      </c>
      <c r="AA57" s="78">
        <f>_xll.HumidairTdbRHPsi(H57,I57,M57,Z57)</f>
        <v>-37.041778098245068</v>
      </c>
      <c r="AB57" s="81">
        <f t="shared" si="32"/>
        <v>-4.1778098245067952E-2</v>
      </c>
      <c r="AC57" s="80">
        <v>-4.1778098245067952E-2</v>
      </c>
      <c r="AE57" s="10" t="s">
        <v>146</v>
      </c>
      <c r="AF57" s="78">
        <f>_xll.HumidairTdbRHPsi(H57,I57,M57,AE57)</f>
        <v>-37.211710458360642</v>
      </c>
      <c r="AG57" s="78">
        <f t="shared" si="33"/>
        <v>-1.1710458360639109E-2</v>
      </c>
      <c r="AH57" s="79">
        <f t="shared" si="34"/>
        <v>-1.1710458360639109E-2</v>
      </c>
      <c r="AJ57" s="10" t="s">
        <v>150</v>
      </c>
      <c r="AK57" s="84">
        <f>_xll.HumidairTdbRHPsi(H57,I57,M57,AJ57)</f>
        <v>0.66898251365413719</v>
      </c>
      <c r="AL57" s="58">
        <v>0.66898251365413719</v>
      </c>
      <c r="AM57" s="85"/>
      <c r="AN57" s="49">
        <f t="shared" si="23"/>
        <v>0.63500000000000001</v>
      </c>
      <c r="AO57" s="172">
        <f t="shared" si="24"/>
        <v>0.11006881507303896</v>
      </c>
      <c r="AP57" s="81">
        <f t="shared" si="25"/>
        <v>0.26886912402013013</v>
      </c>
      <c r="AR57" s="58">
        <v>0.63500000000000001</v>
      </c>
      <c r="AS57" s="198">
        <v>0.11006881507303896</v>
      </c>
      <c r="AT57" s="80">
        <v>0.26886912402013013</v>
      </c>
      <c r="AU57" s="140"/>
      <c r="AV57" s="49">
        <f t="shared" si="26"/>
        <v>0</v>
      </c>
      <c r="AW57" s="162">
        <f t="shared" si="27"/>
        <v>0</v>
      </c>
      <c r="AX57" s="10">
        <f t="shared" si="28"/>
        <v>0</v>
      </c>
      <c r="AY57" s="55">
        <f t="shared" si="29"/>
        <v>0</v>
      </c>
      <c r="AZ57" s="55">
        <f t="shared" si="30"/>
        <v>0</v>
      </c>
      <c r="BB57" s="58">
        <v>0</v>
      </c>
      <c r="BC57" s="167">
        <v>0</v>
      </c>
      <c r="BD57" s="168">
        <v>0</v>
      </c>
      <c r="BE57" s="170">
        <v>0</v>
      </c>
      <c r="BF57" s="171">
        <v>0</v>
      </c>
      <c r="BH57" s="81">
        <f t="shared" si="35"/>
        <v>418</v>
      </c>
      <c r="BI57" s="80">
        <v>418</v>
      </c>
      <c r="BK57" s="81"/>
      <c r="BL57" s="81"/>
      <c r="BM57" s="81"/>
      <c r="BN57" s="192"/>
      <c r="BO57" s="81"/>
      <c r="BP57" s="49"/>
      <c r="BQ57" s="82"/>
      <c r="BR57" s="23"/>
      <c r="BS57" s="194"/>
      <c r="BU57" s="51"/>
    </row>
    <row r="58" spans="1:75" x14ac:dyDescent="0.25">
      <c r="AC58" s="191">
        <f>0.000845/117.5</f>
        <v>7.191489361702128E-6</v>
      </c>
      <c r="AE58" s="190">
        <f>0.000845/69.4</f>
        <v>1.2175792507204611E-5</v>
      </c>
      <c r="AN58" s="4" t="s">
        <v>230</v>
      </c>
      <c r="AP58" s="23"/>
    </row>
    <row r="59" spans="1:75" x14ac:dyDescent="0.25">
      <c r="AE59" s="190">
        <f>0.000845/109.5</f>
        <v>7.7168949771689505E-6</v>
      </c>
      <c r="AH59" s="197"/>
      <c r="AK59" s="86" t="s">
        <v>153</v>
      </c>
      <c r="AN59" s="4">
        <v>418.95</v>
      </c>
      <c r="AO59" s="139" t="s">
        <v>231</v>
      </c>
      <c r="AP59" s="23"/>
      <c r="AX59" s="4" t="s">
        <v>192</v>
      </c>
      <c r="AY59" s="27" t="s">
        <v>271</v>
      </c>
      <c r="AZ59" s="86" t="s">
        <v>153</v>
      </c>
      <c r="BD59" s="70" t="s">
        <v>192</v>
      </c>
      <c r="BE59" s="70" t="s">
        <v>271</v>
      </c>
      <c r="BF59" s="83"/>
      <c r="BH59" s="161" t="s">
        <v>233</v>
      </c>
      <c r="BI59" s="70" t="s">
        <v>233</v>
      </c>
      <c r="BK59" s="86" t="s">
        <v>153</v>
      </c>
      <c r="BQ59" s="4"/>
      <c r="BS59" s="83"/>
    </row>
    <row r="60" spans="1:75" x14ac:dyDescent="0.25">
      <c r="K60" s="2"/>
      <c r="M60" s="30"/>
      <c r="N60" s="25"/>
      <c r="O60" s="25"/>
      <c r="R60" s="65" t="s">
        <v>103</v>
      </c>
      <c r="T60" s="69"/>
      <c r="Y60" t="s">
        <v>166</v>
      </c>
      <c r="AB60" s="4"/>
      <c r="AC60" s="57"/>
      <c r="AG60" s="8"/>
      <c r="AH60" s="204"/>
      <c r="AK60" s="26" t="s">
        <v>192</v>
      </c>
      <c r="AL60" s="70" t="s">
        <v>192</v>
      </c>
      <c r="AN60" s="4">
        <v>1.8437700000000001E-2</v>
      </c>
      <c r="AO60" s="139" t="s">
        <v>176</v>
      </c>
      <c r="AP60" s="23" t="e">
        <f t="shared" si="25"/>
        <v>#VALUE!</v>
      </c>
      <c r="AX60" s="4" t="s">
        <v>193</v>
      </c>
      <c r="AY60" s="16" t="s">
        <v>193</v>
      </c>
      <c r="BD60" s="72" t="s">
        <v>193</v>
      </c>
      <c r="BE60" s="72" t="s">
        <v>193</v>
      </c>
      <c r="BF60" s="83"/>
      <c r="BH60" s="73" t="s">
        <v>255</v>
      </c>
      <c r="BI60" s="72" t="s">
        <v>255</v>
      </c>
      <c r="BQ60" s="27" t="s">
        <v>306</v>
      </c>
      <c r="BS60" s="70" t="s">
        <v>306</v>
      </c>
    </row>
    <row r="61" spans="1:75" x14ac:dyDescent="0.25">
      <c r="B61" s="39" t="s">
        <v>103</v>
      </c>
      <c r="C61" s="2"/>
      <c r="G61" s="51"/>
      <c r="I61" s="52"/>
      <c r="P61" s="27" t="s">
        <v>72</v>
      </c>
      <c r="R61" s="203" t="s">
        <v>72</v>
      </c>
      <c r="T61" t="s">
        <v>140</v>
      </c>
      <c r="AA61" s="71" t="s">
        <v>134</v>
      </c>
      <c r="AB61" s="60" t="s">
        <v>300</v>
      </c>
      <c r="AC61" s="70" t="s">
        <v>300</v>
      </c>
      <c r="AF61" s="71" t="s">
        <v>134</v>
      </c>
      <c r="AG61" s="16" t="s">
        <v>314</v>
      </c>
      <c r="AH61" s="72" t="s">
        <v>314</v>
      </c>
      <c r="AK61" s="15" t="s">
        <v>147</v>
      </c>
      <c r="AL61" s="72" t="s">
        <v>147</v>
      </c>
      <c r="AN61" s="4">
        <v>1.8405999999999999E-2</v>
      </c>
      <c r="AO61" t="s">
        <v>232</v>
      </c>
      <c r="AP61" s="23"/>
      <c r="AQ61" t="s">
        <v>187</v>
      </c>
      <c r="AS61" s="176" t="s">
        <v>315</v>
      </c>
      <c r="AT61" s="87" t="s">
        <v>317</v>
      </c>
      <c r="AV61" s="163" t="s">
        <v>270</v>
      </c>
      <c r="AX61" s="4">
        <v>0.83299999999999996</v>
      </c>
      <c r="AY61" s="16" t="s">
        <v>272</v>
      </c>
      <c r="AZ61" s="27" t="s">
        <v>274</v>
      </c>
      <c r="BB61" s="70" t="s">
        <v>270</v>
      </c>
      <c r="BD61" s="72">
        <v>0.83299999999999996</v>
      </c>
      <c r="BE61" s="72" t="s">
        <v>272</v>
      </c>
      <c r="BF61" s="70" t="s">
        <v>274</v>
      </c>
      <c r="BH61" s="73" t="s">
        <v>282</v>
      </c>
      <c r="BI61" s="72" t="s">
        <v>282</v>
      </c>
      <c r="BK61" s="27" t="s">
        <v>297</v>
      </c>
      <c r="BL61" s="27" t="s">
        <v>299</v>
      </c>
      <c r="BM61" s="26" t="s">
        <v>301</v>
      </c>
      <c r="BO61" s="163" t="s">
        <v>304</v>
      </c>
      <c r="BQ61" s="16" t="s">
        <v>291</v>
      </c>
      <c r="BS61" s="72" t="s">
        <v>291</v>
      </c>
    </row>
    <row r="62" spans="1:75" x14ac:dyDescent="0.25">
      <c r="G62" s="4" t="s">
        <v>0</v>
      </c>
      <c r="K62" s="4" t="s">
        <v>1</v>
      </c>
      <c r="L62" s="4" t="s">
        <v>2</v>
      </c>
      <c r="O62" s="4" t="s">
        <v>72</v>
      </c>
      <c r="P62" s="16" t="s">
        <v>81</v>
      </c>
      <c r="Q62" s="4"/>
      <c r="R62" s="72" t="s">
        <v>81</v>
      </c>
      <c r="V62" s="26" t="s">
        <v>310</v>
      </c>
      <c r="W62" s="87" t="s">
        <v>310</v>
      </c>
      <c r="AA62" s="73" t="s">
        <v>141</v>
      </c>
      <c r="AB62" s="61" t="s">
        <v>141</v>
      </c>
      <c r="AC62" s="72" t="s">
        <v>141</v>
      </c>
      <c r="AF62" s="42" t="s">
        <v>141</v>
      </c>
      <c r="AG62" s="16" t="s">
        <v>141</v>
      </c>
      <c r="AH62" s="72" t="s">
        <v>141</v>
      </c>
      <c r="AK62" s="15" t="s">
        <v>148</v>
      </c>
      <c r="AL62" s="72" t="s">
        <v>148</v>
      </c>
      <c r="AN62" s="27" t="s">
        <v>235</v>
      </c>
      <c r="AO62" s="27" t="s">
        <v>233</v>
      </c>
      <c r="AP62" s="27" t="s">
        <v>233</v>
      </c>
      <c r="AR62" s="176" t="s">
        <v>320</v>
      </c>
      <c r="AS62" s="199" t="s">
        <v>316</v>
      </c>
      <c r="AT62" s="72" t="s">
        <v>318</v>
      </c>
      <c r="AV62" s="73" t="s">
        <v>275</v>
      </c>
      <c r="AW62" s="163" t="s">
        <v>270</v>
      </c>
      <c r="AY62" s="16" t="s">
        <v>251</v>
      </c>
      <c r="AZ62" s="16">
        <v>1.7030000000000001</v>
      </c>
      <c r="BB62" s="72" t="s">
        <v>275</v>
      </c>
      <c r="BC62" s="176" t="s">
        <v>270</v>
      </c>
      <c r="BD62" s="74"/>
      <c r="BE62" s="72" t="s">
        <v>251</v>
      </c>
      <c r="BF62" s="72">
        <v>1.7030000000000001</v>
      </c>
      <c r="BH62" s="178" t="s">
        <v>187</v>
      </c>
      <c r="BI62" s="72" t="s">
        <v>187</v>
      </c>
      <c r="BK62" s="16" t="s">
        <v>298</v>
      </c>
      <c r="BL62" s="16" t="s">
        <v>298</v>
      </c>
      <c r="BM62" s="16" t="s">
        <v>300</v>
      </c>
      <c r="BO62" s="16" t="s">
        <v>303</v>
      </c>
      <c r="BP62" s="161" t="s">
        <v>296</v>
      </c>
      <c r="BQ62" s="16" t="s">
        <v>292</v>
      </c>
      <c r="BS62" s="72" t="s">
        <v>292</v>
      </c>
    </row>
    <row r="63" spans="1:75" ht="17.25" x14ac:dyDescent="0.25">
      <c r="A63" s="5"/>
      <c r="B63" s="5"/>
      <c r="C63" t="s">
        <v>3</v>
      </c>
      <c r="D63" t="s">
        <v>4</v>
      </c>
      <c r="E63" t="s">
        <v>5</v>
      </c>
      <c r="F63" s="4" t="s">
        <v>6</v>
      </c>
      <c r="G63" s="6" t="s">
        <v>7</v>
      </c>
      <c r="H63" s="4" t="s">
        <v>98</v>
      </c>
      <c r="I63" s="4" t="s">
        <v>99</v>
      </c>
      <c r="J63" s="4" t="s">
        <v>74</v>
      </c>
      <c r="K63" s="7" t="s">
        <v>163</v>
      </c>
      <c r="L63" s="7" t="s">
        <v>8</v>
      </c>
      <c r="M63" s="4" t="s">
        <v>9</v>
      </c>
      <c r="N63" s="4" t="s">
        <v>10</v>
      </c>
      <c r="O63" s="4" t="s">
        <v>11</v>
      </c>
      <c r="P63" s="13" t="s">
        <v>82</v>
      </c>
      <c r="Q63" s="4"/>
      <c r="R63" s="77" t="s">
        <v>82</v>
      </c>
      <c r="S63" s="4"/>
      <c r="T63" s="10" t="s">
        <v>142</v>
      </c>
      <c r="U63" s="18" t="s">
        <v>10</v>
      </c>
      <c r="V63" s="13" t="s">
        <v>273</v>
      </c>
      <c r="W63" s="77" t="s">
        <v>311</v>
      </c>
      <c r="X63" s="4"/>
      <c r="Y63" s="10" t="s">
        <v>142</v>
      </c>
      <c r="Z63" s="18" t="s">
        <v>10</v>
      </c>
      <c r="AA63" s="76" t="s">
        <v>143</v>
      </c>
      <c r="AB63" s="196" t="s">
        <v>312</v>
      </c>
      <c r="AC63" s="72" t="s">
        <v>312</v>
      </c>
      <c r="AE63" s="9" t="s">
        <v>10</v>
      </c>
      <c r="AF63" s="76" t="s">
        <v>82</v>
      </c>
      <c r="AG63" s="13" t="s">
        <v>313</v>
      </c>
      <c r="AH63" s="77" t="s">
        <v>313</v>
      </c>
      <c r="AJ63" s="32" t="s">
        <v>10</v>
      </c>
      <c r="AK63" s="12" t="s">
        <v>149</v>
      </c>
      <c r="AL63" s="77" t="s">
        <v>149</v>
      </c>
      <c r="AN63" s="13" t="s">
        <v>230</v>
      </c>
      <c r="AO63" s="13" t="s">
        <v>177</v>
      </c>
      <c r="AP63" s="13" t="s">
        <v>234</v>
      </c>
      <c r="AR63" s="177" t="s">
        <v>321</v>
      </c>
      <c r="AS63" s="177" t="s">
        <v>232</v>
      </c>
      <c r="AT63" s="77" t="s">
        <v>319</v>
      </c>
      <c r="AV63" s="166" t="s">
        <v>149</v>
      </c>
      <c r="AW63" s="13" t="s">
        <v>276</v>
      </c>
      <c r="AX63" s="164" t="s">
        <v>186</v>
      </c>
      <c r="AY63" s="13" t="s">
        <v>82</v>
      </c>
      <c r="AZ63" s="13" t="s">
        <v>273</v>
      </c>
      <c r="BB63" s="77" t="s">
        <v>149</v>
      </c>
      <c r="BC63" s="177" t="s">
        <v>276</v>
      </c>
      <c r="BD63" s="77" t="s">
        <v>186</v>
      </c>
      <c r="BE63" s="77" t="s">
        <v>82</v>
      </c>
      <c r="BF63" s="77" t="s">
        <v>277</v>
      </c>
      <c r="BH63" s="76">
        <v>418</v>
      </c>
      <c r="BI63" s="77">
        <v>418</v>
      </c>
      <c r="BK63" s="13" t="s">
        <v>250</v>
      </c>
      <c r="BL63" s="13" t="s">
        <v>250</v>
      </c>
      <c r="BM63" s="13" t="s">
        <v>295</v>
      </c>
      <c r="BN63" s="18" t="s">
        <v>302</v>
      </c>
      <c r="BO63" s="13" t="s">
        <v>189</v>
      </c>
      <c r="BP63" s="76" t="s">
        <v>277</v>
      </c>
      <c r="BQ63" s="13" t="s">
        <v>305</v>
      </c>
      <c r="BS63" s="77" t="s">
        <v>305</v>
      </c>
    </row>
    <row r="64" spans="1:75" x14ac:dyDescent="0.25">
      <c r="A64">
        <v>1</v>
      </c>
      <c r="C64" s="9" t="s">
        <v>12</v>
      </c>
      <c r="D64" s="10" t="s">
        <v>13</v>
      </c>
      <c r="E64" s="32" t="s">
        <v>14</v>
      </c>
      <c r="F64" s="33">
        <v>44337</v>
      </c>
      <c r="G64" s="29">
        <v>0.71597222222222223</v>
      </c>
      <c r="H64" s="28">
        <v>-7</v>
      </c>
      <c r="I64" s="28">
        <v>73</v>
      </c>
      <c r="J64" s="28" t="s">
        <v>86</v>
      </c>
      <c r="K64" s="10">
        <v>32</v>
      </c>
      <c r="L64" s="47">
        <f>+((101325*(1-(2.25577*10^-5)*(K64))^5.25588))</f>
        <v>100941.16925190832</v>
      </c>
      <c r="M64" s="10">
        <f t="shared" ref="M64:M83" si="43">+L64/100000</f>
        <v>1.0094116925190832</v>
      </c>
      <c r="N64" s="10" t="s">
        <v>15</v>
      </c>
      <c r="O64" s="10">
        <f>_xll.HumidairTdbRHPsi(H64,I64,M64,N64)</f>
        <v>1.5311980252260755E-3</v>
      </c>
      <c r="P64" s="49">
        <f t="shared" ref="P64:P83" si="44">+O64*1000</f>
        <v>1.5311980252260755</v>
      </c>
      <c r="Q64" s="31"/>
      <c r="R64" s="58">
        <v>1.5311980252260755</v>
      </c>
      <c r="S64" s="4"/>
      <c r="T64" s="10">
        <v>1</v>
      </c>
      <c r="U64" s="10" t="s">
        <v>144</v>
      </c>
      <c r="V64" s="78">
        <f>_xll.HumidairTdbRHPsi(H64, I64,M64,U64)</f>
        <v>-10.578310316798877</v>
      </c>
      <c r="W64" s="79">
        <v>-10.578310316798877</v>
      </c>
      <c r="X64" s="4"/>
      <c r="Y64" s="10">
        <v>1</v>
      </c>
      <c r="Z64" s="10" t="s">
        <v>145</v>
      </c>
      <c r="AA64" s="78">
        <f>_xll.HumidairTdbRHPsi(H64,I64,M64,Z64)</f>
        <v>-3.231274188264794</v>
      </c>
      <c r="AB64" s="78">
        <f>+AA64+37</f>
        <v>33.768725811735209</v>
      </c>
      <c r="AC64" s="80">
        <v>33.768725811735209</v>
      </c>
      <c r="AE64" s="10" t="s">
        <v>146</v>
      </c>
      <c r="AF64" s="78">
        <f>_xll.HumidairTdbRHPsi(H64,I64,M64,AE64)</f>
        <v>-7.039382953320346</v>
      </c>
      <c r="AG64" s="81">
        <f t="shared" ref="AG64:AG83" si="45">+AF64+37</f>
        <v>29.960617046679655</v>
      </c>
      <c r="AH64" s="80">
        <v>29.960617046679655</v>
      </c>
      <c r="AJ64" s="10" t="s">
        <v>150</v>
      </c>
      <c r="AK64" s="84">
        <f>_xll.HumidairTdbRHPsi(H64,I64,M64,AJ64)</f>
        <v>0.75636033813165071</v>
      </c>
      <c r="AL64" s="58">
        <v>0.75636033813165071</v>
      </c>
      <c r="AN64" s="48">
        <f t="shared" ref="AN64:AN83" si="46">+$AN$6*($AL$57/AL64)</f>
        <v>0.56164221569274897</v>
      </c>
      <c r="AO64" s="81">
        <f t="shared" ref="AO64:AO83" si="47">+R64/AN64</f>
        <v>2.7262872740743727</v>
      </c>
      <c r="AP64" s="81">
        <f t="shared" si="25"/>
        <v>6.6596017293471785</v>
      </c>
      <c r="AR64" s="58">
        <v>0.56164221569274897</v>
      </c>
      <c r="AS64" s="80">
        <v>2.7262872740743727</v>
      </c>
      <c r="AT64" s="80">
        <v>6.6596017293471785</v>
      </c>
      <c r="AU64" s="140"/>
      <c r="AV64" s="84">
        <f t="shared" ref="AV64:AV83" si="48">+$AN$57-AN64</f>
        <v>7.3357784307251039E-2</v>
      </c>
      <c r="AW64" s="165">
        <f t="shared" ref="AW64:AW83" si="49">+AV64/1000</f>
        <v>7.3357784307251044E-5</v>
      </c>
      <c r="AX64" s="10">
        <f t="shared" ref="AX64:AX83" si="50">37+H64</f>
        <v>30</v>
      </c>
      <c r="AY64" s="55">
        <f t="shared" ref="AY64:AY83" si="51">+AW64*AX64*$AX$9</f>
        <v>1.8332110298382035E-3</v>
      </c>
      <c r="AZ64" s="55">
        <f t="shared" ref="AZ64:AZ83" si="52">+AY64/1.703</f>
        <v>1.0764597943853219E-3</v>
      </c>
      <c r="BB64" s="58">
        <v>7.3357784307251039E-2</v>
      </c>
      <c r="BC64" s="167">
        <v>7.3357784307251044E-5</v>
      </c>
      <c r="BD64" s="168">
        <v>30</v>
      </c>
      <c r="BE64" s="168">
        <v>1.8332110298382035E-3</v>
      </c>
      <c r="BF64" s="169">
        <v>1.0764597943853219E-3</v>
      </c>
      <c r="BH64" s="81">
        <f>418*($AL$57/AL64)</f>
        <v>369.71093883396702</v>
      </c>
      <c r="BI64" s="80">
        <v>369.71093883396702</v>
      </c>
      <c r="BK64" s="81">
        <f>+AB64</f>
        <v>33.768725811735209</v>
      </c>
      <c r="BL64" s="81">
        <f>+AG64</f>
        <v>29.960617046679655</v>
      </c>
      <c r="BM64" s="81">
        <f>+BK64-BL64</f>
        <v>3.8081087650555538</v>
      </c>
      <c r="BN64" s="192">
        <f>+BM64/BK64</f>
        <v>0.11277028296199944</v>
      </c>
      <c r="BO64" s="81">
        <f>+H64-$H$57</f>
        <v>30</v>
      </c>
      <c r="BP64" s="49">
        <f>+BN64*BO64</f>
        <v>3.3831084888599832</v>
      </c>
      <c r="BQ64" s="82">
        <f>+BP64/AZ64</f>
        <v>3142.8098908160332</v>
      </c>
      <c r="BS64" s="195">
        <v>3142.8098908160332</v>
      </c>
    </row>
    <row r="65" spans="1:71" x14ac:dyDescent="0.25">
      <c r="A65">
        <v>2</v>
      </c>
      <c r="B65" s="1" t="s">
        <v>16</v>
      </c>
      <c r="C65" s="12" t="s">
        <v>17</v>
      </c>
      <c r="D65" s="13" t="s">
        <v>18</v>
      </c>
      <c r="E65" s="11" t="s">
        <v>19</v>
      </c>
      <c r="F65" s="33">
        <v>44338</v>
      </c>
      <c r="G65" s="29">
        <v>0.25694444444444448</v>
      </c>
      <c r="H65" s="28">
        <v>-4</v>
      </c>
      <c r="I65" s="28">
        <v>71</v>
      </c>
      <c r="J65" s="28" t="s">
        <v>85</v>
      </c>
      <c r="K65" s="10">
        <v>41</v>
      </c>
      <c r="L65" s="47">
        <f t="shared" ref="L65:L73" si="53">+((101325*(1-(2.25577*10^-5)*(K65))^5.25588))</f>
        <v>100833.42925724134</v>
      </c>
      <c r="M65" s="10">
        <f t="shared" si="43"/>
        <v>1.0083342925724135</v>
      </c>
      <c r="N65" s="10" t="s">
        <v>15</v>
      </c>
      <c r="O65" s="10">
        <f>_xll.HumidairTdbRHPsi(H65,I65,M65,N65)</f>
        <v>1.9296502770308646E-3</v>
      </c>
      <c r="P65" s="49">
        <f t="shared" si="44"/>
        <v>1.9296502770308646</v>
      </c>
      <c r="Q65" s="31"/>
      <c r="R65" s="58">
        <v>1.9296502770308646</v>
      </c>
      <c r="S65" s="4"/>
      <c r="T65" s="10">
        <v>2</v>
      </c>
      <c r="U65" s="10" t="s">
        <v>144</v>
      </c>
      <c r="V65" s="78">
        <f>_xll.HumidairTdbRHPsi(H65, I65,M65,U65)</f>
        <v>-7.9775229847681999</v>
      </c>
      <c r="W65" s="79">
        <v>-7.9775229847681999</v>
      </c>
      <c r="X65" s="4"/>
      <c r="Y65" s="10">
        <v>2</v>
      </c>
      <c r="Z65" s="10" t="s">
        <v>145</v>
      </c>
      <c r="AA65" s="78">
        <f>_xll.HumidairTdbRHPsi(H65,I65,M65,Z65)</f>
        <v>0.78798061437047939</v>
      </c>
      <c r="AB65" s="81">
        <f t="shared" ref="AB65:AB83" si="54">+AA65+37</f>
        <v>37.787980614370483</v>
      </c>
      <c r="AC65" s="80">
        <v>37.787980614370483</v>
      </c>
      <c r="AE65" s="10" t="s">
        <v>146</v>
      </c>
      <c r="AF65" s="78">
        <f>_xll.HumidairTdbRHPsi(H65,I65,M65,AE65)</f>
        <v>-4.0218124911819695</v>
      </c>
      <c r="AG65" s="81">
        <f t="shared" si="45"/>
        <v>32.978187508818031</v>
      </c>
      <c r="AH65" s="80">
        <v>32.978187508818031</v>
      </c>
      <c r="AJ65" s="10" t="s">
        <v>150</v>
      </c>
      <c r="AK65" s="84">
        <f>_xll.HumidairTdbRHPsi(H65,I65,M65,AJ65)</f>
        <v>0.76573629725226844</v>
      </c>
      <c r="AL65" s="58">
        <v>0.76573629725226844</v>
      </c>
      <c r="AN65" s="48">
        <f t="shared" si="46"/>
        <v>0.55476526017471439</v>
      </c>
      <c r="AO65" s="81">
        <f t="shared" si="47"/>
        <v>3.4783185169582396</v>
      </c>
      <c r="AP65" s="81">
        <f t="shared" si="25"/>
        <v>8.4966159769865435</v>
      </c>
      <c r="AR65" s="58">
        <v>0.55476526017471439</v>
      </c>
      <c r="AS65" s="80">
        <v>3.4783185169582396</v>
      </c>
      <c r="AT65" s="80">
        <v>8.4966159769865435</v>
      </c>
      <c r="AU65" s="140"/>
      <c r="AV65" s="49">
        <f t="shared" si="48"/>
        <v>8.0234739825285617E-2</v>
      </c>
      <c r="AW65" s="162">
        <f t="shared" si="49"/>
        <v>8.023473982528562E-5</v>
      </c>
      <c r="AX65" s="10">
        <f t="shared" si="50"/>
        <v>33</v>
      </c>
      <c r="AY65" s="55">
        <f t="shared" si="51"/>
        <v>2.205572763057276E-3</v>
      </c>
      <c r="AZ65" s="55">
        <f t="shared" si="52"/>
        <v>1.2951102542908255E-3</v>
      </c>
      <c r="BB65" s="58">
        <v>8.0234739825285617E-2</v>
      </c>
      <c r="BC65" s="167">
        <v>8.023473982528562E-5</v>
      </c>
      <c r="BD65" s="168">
        <v>33</v>
      </c>
      <c r="BE65" s="170">
        <v>2.205572763057276E-3</v>
      </c>
      <c r="BF65" s="169">
        <v>1.2951102542908255E-3</v>
      </c>
      <c r="BH65" s="81">
        <f t="shared" ref="BH65:BH83" si="55">418*($AL$57/AL65)</f>
        <v>365.18406102839464</v>
      </c>
      <c r="BI65" s="80">
        <v>365.18406102839464</v>
      </c>
      <c r="BK65" s="81">
        <f t="shared" ref="BK65:BK82" si="56">+AB65</f>
        <v>37.787980614370483</v>
      </c>
      <c r="BL65" s="81">
        <f t="shared" ref="BL65:BL82" si="57">+AG65</f>
        <v>32.978187508818031</v>
      </c>
      <c r="BM65" s="81">
        <f t="shared" ref="BM65:BM82" si="58">+BK65-BL65</f>
        <v>4.8097931055524512</v>
      </c>
      <c r="BN65" s="192">
        <f t="shared" ref="BN65:BN82" si="59">+BM65/BK65</f>
        <v>0.1272836766440841</v>
      </c>
      <c r="BO65" s="81">
        <f t="shared" ref="BO65:BO82" si="60">+H65-$H$57</f>
        <v>33</v>
      </c>
      <c r="BP65" s="49">
        <f t="shared" ref="BP65:BP82" si="61">+BN65*BO65</f>
        <v>4.2003613292547755</v>
      </c>
      <c r="BQ65" s="82">
        <f t="shared" ref="BQ65:BQ82" si="62">+BP65/AZ65</f>
        <v>3243.2461370285441</v>
      </c>
      <c r="BS65" s="193">
        <v>3243.2461370285441</v>
      </c>
    </row>
    <row r="66" spans="1:71" x14ac:dyDescent="0.25">
      <c r="A66">
        <v>3</v>
      </c>
      <c r="C66" s="12" t="s">
        <v>20</v>
      </c>
      <c r="D66" s="10" t="s">
        <v>21</v>
      </c>
      <c r="E66" s="11" t="s">
        <v>22</v>
      </c>
      <c r="F66" s="33">
        <v>44338</v>
      </c>
      <c r="G66" s="29">
        <v>0.45624999999999999</v>
      </c>
      <c r="H66" s="28">
        <v>0</v>
      </c>
      <c r="I66" s="28">
        <v>100</v>
      </c>
      <c r="J66" s="28" t="s">
        <v>85</v>
      </c>
      <c r="K66" s="10">
        <v>15</v>
      </c>
      <c r="L66" s="47">
        <f t="shared" si="53"/>
        <v>101144.93246061618</v>
      </c>
      <c r="M66" s="10">
        <f t="shared" si="43"/>
        <v>1.0114493246061618</v>
      </c>
      <c r="N66" s="10" t="s">
        <v>15</v>
      </c>
      <c r="O66" s="10">
        <f>_xll.HumidairTdbRHPsi(H66,I66,M66,N66)</f>
        <v>3.7960658331511262E-3</v>
      </c>
      <c r="P66" s="49">
        <f t="shared" si="44"/>
        <v>3.7960658331511263</v>
      </c>
      <c r="Q66" s="31"/>
      <c r="R66" s="58">
        <v>3.7960658331511263</v>
      </c>
      <c r="S66" s="4"/>
      <c r="T66" s="10">
        <v>3</v>
      </c>
      <c r="U66" s="10" t="s">
        <v>144</v>
      </c>
      <c r="V66" s="78">
        <f>_xll.HumidairTdbRHPsi(H66, I66,M66,U66)</f>
        <v>0</v>
      </c>
      <c r="W66" s="79">
        <v>0</v>
      </c>
      <c r="X66" s="4"/>
      <c r="Y66" s="10">
        <v>3</v>
      </c>
      <c r="Z66" s="10" t="s">
        <v>145</v>
      </c>
      <c r="AA66" s="78">
        <f>_xll.HumidairTdbRHPsi(H66,I66,M66,Z66)</f>
        <v>9.4900750869145494</v>
      </c>
      <c r="AB66" s="81">
        <f t="shared" si="54"/>
        <v>46.490075086914551</v>
      </c>
      <c r="AC66" s="80">
        <v>46.490075086914551</v>
      </c>
      <c r="AE66" s="10" t="s">
        <v>146</v>
      </c>
      <c r="AF66" s="78">
        <f>_xll.HumidairTdbRHPsi(H66,I66,M66,AE66)</f>
        <v>4.9825872967614775E-4</v>
      </c>
      <c r="AG66" s="81">
        <f t="shared" si="45"/>
        <v>37.000498258729678</v>
      </c>
      <c r="AH66" s="80">
        <v>37.000498258729678</v>
      </c>
      <c r="AJ66" s="10" t="s">
        <v>150</v>
      </c>
      <c r="AK66" s="84">
        <f>_xll.HumidairTdbRHPsi(H66,I66,M66,AJ66)</f>
        <v>0.7747633236947149</v>
      </c>
      <c r="AL66" s="58">
        <v>0.7747633236947149</v>
      </c>
      <c r="AN66" s="48">
        <f t="shared" si="46"/>
        <v>0.54830150470282901</v>
      </c>
      <c r="AO66" s="81">
        <f t="shared" si="47"/>
        <v>6.9233182849070163</v>
      </c>
      <c r="AP66" s="81">
        <f t="shared" si="25"/>
        <v>16.911843026022183</v>
      </c>
      <c r="AR66" s="58">
        <v>0.54830150470282901</v>
      </c>
      <c r="AS66" s="80">
        <v>6.9233182849070163</v>
      </c>
      <c r="AT66" s="80">
        <v>16.911843026022183</v>
      </c>
      <c r="AU66" s="140"/>
      <c r="AV66" s="49">
        <f t="shared" si="48"/>
        <v>8.6698495297170997E-2</v>
      </c>
      <c r="AW66" s="162">
        <f t="shared" si="49"/>
        <v>8.6698495297170996E-5</v>
      </c>
      <c r="AX66" s="10">
        <f t="shared" si="50"/>
        <v>37</v>
      </c>
      <c r="AY66" s="55">
        <f t="shared" si="51"/>
        <v>2.6721343235541072E-3</v>
      </c>
      <c r="AZ66" s="55">
        <f t="shared" si="52"/>
        <v>1.5690747642713488E-3</v>
      </c>
      <c r="BB66" s="58">
        <v>8.6698495297170997E-2</v>
      </c>
      <c r="BC66" s="167">
        <v>8.6698495297170996E-5</v>
      </c>
      <c r="BD66" s="168">
        <v>37</v>
      </c>
      <c r="BE66" s="170">
        <v>2.6721343235541072E-3</v>
      </c>
      <c r="BF66" s="171">
        <v>1.5690747642713488E-3</v>
      </c>
      <c r="BH66" s="81">
        <f t="shared" si="55"/>
        <v>360.92917947367323</v>
      </c>
      <c r="BI66" s="80">
        <v>360.92917947367323</v>
      </c>
      <c r="BK66" s="81">
        <f t="shared" si="56"/>
        <v>46.490075086914551</v>
      </c>
      <c r="BL66" s="81">
        <f t="shared" si="57"/>
        <v>37.000498258729678</v>
      </c>
      <c r="BM66" s="81">
        <f t="shared" si="58"/>
        <v>9.4895768281848731</v>
      </c>
      <c r="BN66" s="192">
        <f t="shared" si="59"/>
        <v>0.20412048830731791</v>
      </c>
      <c r="BO66" s="81">
        <f t="shared" si="60"/>
        <v>37</v>
      </c>
      <c r="BP66" s="49">
        <f t="shared" si="61"/>
        <v>7.5524580673707629</v>
      </c>
      <c r="BQ66" s="82">
        <f t="shared" si="62"/>
        <v>4813.3194410771075</v>
      </c>
      <c r="BS66" s="193">
        <v>4813.3194410771075</v>
      </c>
    </row>
    <row r="67" spans="1:71" x14ac:dyDescent="0.25">
      <c r="A67" s="5">
        <v>4</v>
      </c>
      <c r="B67" s="14"/>
      <c r="C67" s="12" t="s">
        <v>23</v>
      </c>
      <c r="D67" s="10" t="s">
        <v>24</v>
      </c>
      <c r="E67" s="11" t="s">
        <v>25</v>
      </c>
      <c r="F67" s="33">
        <v>44337</v>
      </c>
      <c r="G67" s="29">
        <v>0.63124999999999998</v>
      </c>
      <c r="H67" s="28">
        <v>16</v>
      </c>
      <c r="I67" s="28">
        <v>27</v>
      </c>
      <c r="J67" s="28" t="s">
        <v>86</v>
      </c>
      <c r="K67" s="10">
        <v>26</v>
      </c>
      <c r="L67" s="47">
        <f t="shared" si="53"/>
        <v>101013.04768769341</v>
      </c>
      <c r="M67" s="10">
        <f t="shared" si="43"/>
        <v>1.0101304768769341</v>
      </c>
      <c r="N67" s="10" t="s">
        <v>15</v>
      </c>
      <c r="O67" s="10">
        <f>_xll.HumidairTdbRHPsi(H67,I67,M67,N67)</f>
        <v>3.0501249519792619E-3</v>
      </c>
      <c r="P67" s="49">
        <f t="shared" si="44"/>
        <v>3.0501249519792619</v>
      </c>
      <c r="Q67" s="31"/>
      <c r="R67" s="58">
        <v>3.0501249519792619</v>
      </c>
      <c r="S67" s="4"/>
      <c r="T67" s="10">
        <v>4</v>
      </c>
      <c r="U67" s="10" t="s">
        <v>144</v>
      </c>
      <c r="V67" s="78">
        <f>_xll.HumidairTdbRHPsi(H67, I67,M67,U67)</f>
        <v>-2.6334248883174496</v>
      </c>
      <c r="W67" s="79">
        <v>-2.6334248883174496</v>
      </c>
      <c r="X67" s="4"/>
      <c r="Y67" s="10">
        <v>4</v>
      </c>
      <c r="Z67" s="10" t="s">
        <v>145</v>
      </c>
      <c r="AA67" s="78">
        <f>_xll.HumidairTdbRHPsi(H67,I67,M67,Z67)</f>
        <v>23.812916979019882</v>
      </c>
      <c r="AB67" s="81">
        <f t="shared" si="54"/>
        <v>60.812916979019882</v>
      </c>
      <c r="AC67" s="80">
        <v>60.812916979019882</v>
      </c>
      <c r="AE67" s="10" t="s">
        <v>146</v>
      </c>
      <c r="AF67" s="78">
        <f>_xll.HumidairTdbRHPsi(H67,I67,M67,AE67)</f>
        <v>16.096463365220764</v>
      </c>
      <c r="AG67" s="81">
        <f t="shared" si="45"/>
        <v>53.096463365220764</v>
      </c>
      <c r="AH67" s="80">
        <v>53.096463365220764</v>
      </c>
      <c r="AJ67" s="10" t="s">
        <v>150</v>
      </c>
      <c r="AK67" s="84">
        <f>_xll.HumidairTdbRHPsi(H67,I67,M67,AJ67)</f>
        <v>0.82137042372594848</v>
      </c>
      <c r="AL67" s="58">
        <v>0.82137042372594848</v>
      </c>
      <c r="AN67" s="48">
        <f t="shared" si="46"/>
        <v>0.51718918030108374</v>
      </c>
      <c r="AO67" s="81">
        <f t="shared" si="47"/>
        <v>5.8975034052406503</v>
      </c>
      <c r="AP67" s="81">
        <f t="shared" si="25"/>
        <v>14.406047466038274</v>
      </c>
      <c r="AR67" s="58">
        <v>0.51718918030108374</v>
      </c>
      <c r="AS67" s="80">
        <v>5.8975034052406503</v>
      </c>
      <c r="AT67" s="80">
        <v>14.406047466038274</v>
      </c>
      <c r="AU67" s="140"/>
      <c r="AV67" s="49">
        <f t="shared" si="48"/>
        <v>0.11781081969891627</v>
      </c>
      <c r="AW67" s="162">
        <f t="shared" si="49"/>
        <v>1.1781081969891627E-4</v>
      </c>
      <c r="AX67" s="10">
        <f t="shared" si="50"/>
        <v>53</v>
      </c>
      <c r="AY67" s="55">
        <f t="shared" si="51"/>
        <v>5.2012298788874541E-3</v>
      </c>
      <c r="AZ67" s="55">
        <f t="shared" si="52"/>
        <v>3.0541572982310358E-3</v>
      </c>
      <c r="BB67" s="58">
        <v>0.11781081969891627</v>
      </c>
      <c r="BC67" s="167">
        <v>1.1781081969891627E-4</v>
      </c>
      <c r="BD67" s="168">
        <v>53</v>
      </c>
      <c r="BE67" s="170">
        <v>5.2012298788874541E-3</v>
      </c>
      <c r="BF67" s="171">
        <v>3.0541572982310358E-3</v>
      </c>
      <c r="BH67" s="81">
        <f t="shared" si="55"/>
        <v>340.44894073362678</v>
      </c>
      <c r="BI67" s="80">
        <v>340.44894073362678</v>
      </c>
      <c r="BK67" s="81">
        <f t="shared" si="56"/>
        <v>60.812916979019882</v>
      </c>
      <c r="BL67" s="81">
        <f t="shared" si="57"/>
        <v>53.096463365220764</v>
      </c>
      <c r="BM67" s="81">
        <f t="shared" si="58"/>
        <v>7.7164536137991178</v>
      </c>
      <c r="BN67" s="192">
        <f t="shared" si="59"/>
        <v>0.12688839801026566</v>
      </c>
      <c r="BO67" s="81">
        <f t="shared" si="60"/>
        <v>53</v>
      </c>
      <c r="BP67" s="49">
        <f t="shared" si="61"/>
        <v>6.7250850945440801</v>
      </c>
      <c r="BQ67" s="82">
        <f t="shared" si="62"/>
        <v>2201.9445751661974</v>
      </c>
      <c r="BS67" s="193">
        <v>2201.9445751661974</v>
      </c>
    </row>
    <row r="68" spans="1:71" x14ac:dyDescent="0.25">
      <c r="A68">
        <v>5</v>
      </c>
      <c r="C68" s="9" t="s">
        <v>26</v>
      </c>
      <c r="D68" s="10" t="s">
        <v>27</v>
      </c>
      <c r="E68" s="11" t="s">
        <v>28</v>
      </c>
      <c r="F68" s="33">
        <v>44338</v>
      </c>
      <c r="G68" s="29">
        <v>0.20486111111111113</v>
      </c>
      <c r="H68" s="28">
        <v>16</v>
      </c>
      <c r="I68" s="28">
        <v>14</v>
      </c>
      <c r="J68" s="28" t="s">
        <v>85</v>
      </c>
      <c r="K68" s="10">
        <v>356</v>
      </c>
      <c r="L68" s="47">
        <f t="shared" si="53"/>
        <v>97120.766933102874</v>
      </c>
      <c r="M68" s="10">
        <f t="shared" si="43"/>
        <v>0.97120766933102876</v>
      </c>
      <c r="N68" s="10" t="s">
        <v>15</v>
      </c>
      <c r="O68" s="10">
        <f>_xll.HumidairTdbRHPsi(H68,I68,M68,N68)</f>
        <v>1.6410279842867742E-3</v>
      </c>
      <c r="P68" s="49">
        <f t="shared" si="44"/>
        <v>1.6410279842867743</v>
      </c>
      <c r="Q68" s="31"/>
      <c r="R68" s="58">
        <v>1.6410279842867743</v>
      </c>
      <c r="S68" s="4"/>
      <c r="T68" s="10">
        <v>5</v>
      </c>
      <c r="U68" s="10" t="s">
        <v>144</v>
      </c>
      <c r="V68" s="78">
        <f>_xll.HumidairTdbRHPsi(H68, I68,M68,U68)</f>
        <v>-10.233958790564543</v>
      </c>
      <c r="W68" s="79">
        <v>-10.233958790564543</v>
      </c>
      <c r="X68" s="4"/>
      <c r="Y68" s="10">
        <v>5</v>
      </c>
      <c r="Z68" s="10" t="s">
        <v>145</v>
      </c>
      <c r="AA68" s="78">
        <f>_xll.HumidairTdbRHPsi(H68,I68,M68,Z68)</f>
        <v>20.257889420787848</v>
      </c>
      <c r="AB68" s="81">
        <f t="shared" si="54"/>
        <v>57.257889420787848</v>
      </c>
      <c r="AC68" s="80">
        <v>57.257889420787848</v>
      </c>
      <c r="AE68" s="10" t="s">
        <v>146</v>
      </c>
      <c r="AF68" s="78">
        <f>_xll.HumidairTdbRHPsi(H68,I68,M68,AE68)</f>
        <v>16.106046216633175</v>
      </c>
      <c r="AG68" s="81">
        <f t="shared" si="45"/>
        <v>53.106046216633175</v>
      </c>
      <c r="AH68" s="80">
        <v>53.106046216633175</v>
      </c>
      <c r="AJ68" s="10" t="s">
        <v>150</v>
      </c>
      <c r="AK68" s="84">
        <f>_xll.HumidairTdbRHPsi(H68,I68,M68,AJ68)</f>
        <v>0.85430122028882893</v>
      </c>
      <c r="AL68" s="58">
        <v>0.85430122028882893</v>
      </c>
      <c r="AN68" s="48">
        <f t="shared" si="46"/>
        <v>0.49725306025754712</v>
      </c>
      <c r="AO68" s="81">
        <f t="shared" si="47"/>
        <v>3.3001867971145731</v>
      </c>
      <c r="AP68" s="81">
        <f t="shared" si="25"/>
        <v>8.0614871038103892</v>
      </c>
      <c r="AR68" s="58">
        <v>0.49725306025754712</v>
      </c>
      <c r="AS68" s="80">
        <v>3.3001867971145731</v>
      </c>
      <c r="AT68" s="80">
        <v>8.0614871038103892</v>
      </c>
      <c r="AU68" s="140"/>
      <c r="AV68" s="49">
        <f t="shared" si="48"/>
        <v>0.13774693974245289</v>
      </c>
      <c r="AW68" s="162">
        <f t="shared" si="49"/>
        <v>1.3774693974245289E-4</v>
      </c>
      <c r="AX68" s="10">
        <f t="shared" si="50"/>
        <v>53</v>
      </c>
      <c r="AY68" s="55">
        <f t="shared" si="51"/>
        <v>6.0813896426895522E-3</v>
      </c>
      <c r="AZ68" s="55">
        <f t="shared" si="52"/>
        <v>3.5709862846092493E-3</v>
      </c>
      <c r="BB68" s="58">
        <v>0.13774693974245289</v>
      </c>
      <c r="BC68" s="167">
        <v>1.3774693974245289E-4</v>
      </c>
      <c r="BD68" s="168">
        <v>53</v>
      </c>
      <c r="BE68" s="170">
        <v>6.0813896426895522E-3</v>
      </c>
      <c r="BF68" s="171">
        <v>3.5709862846092493E-3</v>
      </c>
      <c r="BH68" s="81">
        <f t="shared" si="55"/>
        <v>327.32563651599162</v>
      </c>
      <c r="BI68" s="80">
        <v>327.32563651599162</v>
      </c>
      <c r="BK68" s="81">
        <f t="shared" si="56"/>
        <v>57.257889420787848</v>
      </c>
      <c r="BL68" s="81">
        <f t="shared" si="57"/>
        <v>53.106046216633175</v>
      </c>
      <c r="BM68" s="81">
        <f t="shared" si="58"/>
        <v>4.1518432041546731</v>
      </c>
      <c r="BN68" s="192">
        <f t="shared" si="59"/>
        <v>7.2511286150329521E-2</v>
      </c>
      <c r="BO68" s="81">
        <f t="shared" si="60"/>
        <v>53</v>
      </c>
      <c r="BP68" s="49">
        <f t="shared" si="61"/>
        <v>3.8430981659674646</v>
      </c>
      <c r="BQ68" s="82">
        <f t="shared" si="62"/>
        <v>1076.2007635064301</v>
      </c>
      <c r="BS68" s="193">
        <v>1076.2007635064301</v>
      </c>
    </row>
    <row r="69" spans="1:71" x14ac:dyDescent="0.25">
      <c r="A69">
        <v>6</v>
      </c>
      <c r="C69" s="9" t="s">
        <v>29</v>
      </c>
      <c r="D69" s="10" t="s">
        <v>30</v>
      </c>
      <c r="E69" s="11" t="s">
        <v>31</v>
      </c>
      <c r="F69" s="33">
        <v>44337</v>
      </c>
      <c r="G69" s="34">
        <v>8.1944444444444445E-2</v>
      </c>
      <c r="H69" s="28">
        <v>14</v>
      </c>
      <c r="I69" s="28">
        <v>65</v>
      </c>
      <c r="J69" s="28" t="s">
        <v>85</v>
      </c>
      <c r="K69" s="10">
        <v>2</v>
      </c>
      <c r="L69" s="47">
        <f t="shared" si="53"/>
        <v>101300.97600813</v>
      </c>
      <c r="M69" s="10">
        <f t="shared" si="43"/>
        <v>1.0130097600812999</v>
      </c>
      <c r="N69" s="10" t="s">
        <v>15</v>
      </c>
      <c r="O69" s="10">
        <f>_xll.HumidairTdbRHPsi(H69,I69,M69,N69)</f>
        <v>6.4722356982561133E-3</v>
      </c>
      <c r="P69" s="49">
        <f t="shared" si="44"/>
        <v>6.4722356982561129</v>
      </c>
      <c r="Q69" s="31"/>
      <c r="R69" s="58">
        <v>6.4722356982561129</v>
      </c>
      <c r="S69" s="4"/>
      <c r="T69" s="10">
        <v>6</v>
      </c>
      <c r="U69" s="10" t="s">
        <v>144</v>
      </c>
      <c r="V69" s="78">
        <f>_xll.HumidairTdbRHPsi(H69, I69,M69,U69)</f>
        <v>7.5326754726908689</v>
      </c>
      <c r="W69" s="79">
        <v>7.5326754726908689</v>
      </c>
      <c r="X69" s="4"/>
      <c r="Y69" s="10">
        <v>6</v>
      </c>
      <c r="Z69" s="10" t="s">
        <v>145</v>
      </c>
      <c r="AA69" s="78">
        <f>_xll.HumidairTdbRHPsi(H69,I69,M69,Z69)</f>
        <v>30.431466019177972</v>
      </c>
      <c r="AB69" s="81">
        <f t="shared" si="54"/>
        <v>67.431466019177975</v>
      </c>
      <c r="AC69" s="80">
        <v>67.431466019177975</v>
      </c>
      <c r="AE69" s="10" t="s">
        <v>146</v>
      </c>
      <c r="AF69" s="78">
        <f>_xll.HumidairTdbRHPsi(H69,I69,M69,AE69)</f>
        <v>14.083480008708101</v>
      </c>
      <c r="AG69" s="81">
        <f t="shared" si="45"/>
        <v>51.083480008708101</v>
      </c>
      <c r="AH69" s="80">
        <v>51.083480008708101</v>
      </c>
      <c r="AJ69" s="10" t="s">
        <v>150</v>
      </c>
      <c r="AK69" s="84">
        <f>_xll.HumidairTdbRHPsi(H69,I69,M69,AJ69)</f>
        <v>0.81335264287188669</v>
      </c>
      <c r="AL69" s="58">
        <v>0.81335264287188669</v>
      </c>
      <c r="AN69" s="48">
        <f t="shared" si="46"/>
        <v>0.52228747259051944</v>
      </c>
      <c r="AO69" s="81">
        <f t="shared" si="47"/>
        <v>12.39209446505418</v>
      </c>
      <c r="AP69" s="81">
        <f t="shared" si="25"/>
        <v>30.270622804314609</v>
      </c>
      <c r="AR69" s="58">
        <v>0.52228747259051944</v>
      </c>
      <c r="AS69" s="80">
        <v>12.39209446505418</v>
      </c>
      <c r="AT69" s="80">
        <v>30.270622804314609</v>
      </c>
      <c r="AU69" s="140"/>
      <c r="AV69" s="49">
        <f t="shared" si="48"/>
        <v>0.11271252740948057</v>
      </c>
      <c r="AW69" s="162">
        <f t="shared" si="49"/>
        <v>1.1271252740948056E-4</v>
      </c>
      <c r="AX69" s="10">
        <f t="shared" si="50"/>
        <v>51</v>
      </c>
      <c r="AY69" s="55">
        <f t="shared" si="51"/>
        <v>4.788366301936962E-3</v>
      </c>
      <c r="AZ69" s="55">
        <f t="shared" si="52"/>
        <v>2.8117241937386742E-3</v>
      </c>
      <c r="BB69" s="58">
        <v>0.11271252740948057</v>
      </c>
      <c r="BC69" s="167">
        <v>1.1271252740948056E-4</v>
      </c>
      <c r="BD69" s="168">
        <v>51</v>
      </c>
      <c r="BE69" s="170">
        <v>4.788366301936962E-3</v>
      </c>
      <c r="BF69" s="171">
        <v>2.8117241937386742E-3</v>
      </c>
      <c r="BH69" s="81">
        <f t="shared" si="55"/>
        <v>343.80498195722384</v>
      </c>
      <c r="BI69" s="80">
        <v>343.80498195722384</v>
      </c>
      <c r="BK69" s="81">
        <f t="shared" si="56"/>
        <v>67.431466019177975</v>
      </c>
      <c r="BL69" s="81">
        <f t="shared" si="57"/>
        <v>51.083480008708101</v>
      </c>
      <c r="BM69" s="81">
        <f t="shared" si="58"/>
        <v>16.347986010469874</v>
      </c>
      <c r="BN69" s="192">
        <f t="shared" si="59"/>
        <v>0.24243853760824946</v>
      </c>
      <c r="BO69" s="81">
        <f t="shared" si="60"/>
        <v>51</v>
      </c>
      <c r="BP69" s="49">
        <f t="shared" si="61"/>
        <v>12.364365418020723</v>
      </c>
      <c r="BQ69" s="82">
        <f t="shared" si="62"/>
        <v>4397.431812677245</v>
      </c>
      <c r="BS69" s="193">
        <v>4397.431812677245</v>
      </c>
    </row>
    <row r="70" spans="1:71" x14ac:dyDescent="0.25">
      <c r="A70">
        <v>7</v>
      </c>
      <c r="B70" s="1" t="s">
        <v>32</v>
      </c>
      <c r="C70" s="9" t="s">
        <v>33</v>
      </c>
      <c r="D70" s="10" t="s">
        <v>34</v>
      </c>
      <c r="E70" s="11" t="s">
        <v>35</v>
      </c>
      <c r="F70" s="33">
        <v>44337</v>
      </c>
      <c r="G70" s="29">
        <v>0.96458333333333324</v>
      </c>
      <c r="H70" s="28">
        <v>16</v>
      </c>
      <c r="I70" s="28">
        <v>60</v>
      </c>
      <c r="J70" s="28" t="s">
        <v>93</v>
      </c>
      <c r="K70" s="10">
        <v>126</v>
      </c>
      <c r="L70" s="47">
        <f t="shared" si="53"/>
        <v>99820.46987859541</v>
      </c>
      <c r="M70" s="10">
        <f t="shared" si="43"/>
        <v>0.99820469878595408</v>
      </c>
      <c r="N70" s="10" t="s">
        <v>15</v>
      </c>
      <c r="O70" s="10">
        <f>_xll.HumidairTdbRHPsi(H70,I70,M70,N70)</f>
        <v>6.9010454368981285E-3</v>
      </c>
      <c r="P70" s="49">
        <f t="shared" si="44"/>
        <v>6.9010454368981282</v>
      </c>
      <c r="Q70" s="31"/>
      <c r="R70" s="58">
        <v>6.9010454368981282</v>
      </c>
      <c r="S70" s="4"/>
      <c r="T70" s="10">
        <v>7</v>
      </c>
      <c r="U70" s="10" t="s">
        <v>144</v>
      </c>
      <c r="V70" s="78">
        <f>_xll.HumidairTdbRHPsi(H70, I70,M70,U70)</f>
        <v>8.2487453237890236</v>
      </c>
      <c r="W70" s="79">
        <v>8.2487453237890236</v>
      </c>
      <c r="X70" s="4"/>
      <c r="Y70" s="10">
        <v>7</v>
      </c>
      <c r="Z70" s="10" t="s">
        <v>145</v>
      </c>
      <c r="AA70" s="78">
        <f>_xll.HumidairTdbRHPsi(H70,I70,M70,Z70)</f>
        <v>33.556333208186793</v>
      </c>
      <c r="AB70" s="81">
        <f t="shared" si="54"/>
        <v>70.5563332081868</v>
      </c>
      <c r="AC70" s="80">
        <v>70.5563332081868</v>
      </c>
      <c r="AE70" s="10" t="s">
        <v>146</v>
      </c>
      <c r="AF70" s="78">
        <f>_xll.HumidairTdbRHPsi(H70,I70,M70,AE70)</f>
        <v>16.099399457217466</v>
      </c>
      <c r="AG70" s="81">
        <f t="shared" si="45"/>
        <v>53.099399457217466</v>
      </c>
      <c r="AH70" s="80">
        <v>53.099399457217466</v>
      </c>
      <c r="AJ70" s="10" t="s">
        <v>150</v>
      </c>
      <c r="AK70" s="84">
        <f>_xll.HumidairTdbRHPsi(H70,I70,M70,AJ70)</f>
        <v>0.8311873893040419</v>
      </c>
      <c r="AL70" s="58">
        <v>0.8311873893040419</v>
      </c>
      <c r="AN70" s="48">
        <f t="shared" si="46"/>
        <v>0.51108077629289816</v>
      </c>
      <c r="AO70" s="81">
        <f t="shared" si="47"/>
        <v>13.502846823851518</v>
      </c>
      <c r="AP70" s="81">
        <f t="shared" si="25"/>
        <v>32.98389825399542</v>
      </c>
      <c r="AR70" s="58">
        <v>0.51108077629289816</v>
      </c>
      <c r="AS70" s="80">
        <v>13.502846823851518</v>
      </c>
      <c r="AT70" s="80">
        <v>32.98389825399542</v>
      </c>
      <c r="AU70" s="140"/>
      <c r="AV70" s="49">
        <f t="shared" si="48"/>
        <v>0.12391922370710184</v>
      </c>
      <c r="AW70" s="162">
        <f t="shared" si="49"/>
        <v>1.2391922370710184E-4</v>
      </c>
      <c r="AX70" s="10">
        <f t="shared" si="50"/>
        <v>53</v>
      </c>
      <c r="AY70" s="55">
        <f t="shared" si="51"/>
        <v>5.4709098074448388E-3</v>
      </c>
      <c r="AZ70" s="55">
        <f t="shared" si="52"/>
        <v>3.2125130989106511E-3</v>
      </c>
      <c r="BB70" s="58">
        <v>0.12391922370710184</v>
      </c>
      <c r="BC70" s="167">
        <v>1.2391922370710184E-4</v>
      </c>
      <c r="BD70" s="168">
        <v>53</v>
      </c>
      <c r="BE70" s="170">
        <v>5.4709098074448388E-3</v>
      </c>
      <c r="BF70" s="171">
        <v>3.2125130989106511E-3</v>
      </c>
      <c r="BH70" s="81">
        <f t="shared" si="55"/>
        <v>336.42797557548261</v>
      </c>
      <c r="BI70" s="80">
        <v>336.42797557548261</v>
      </c>
      <c r="BK70" s="81">
        <f t="shared" si="56"/>
        <v>70.5563332081868</v>
      </c>
      <c r="BL70" s="81">
        <f t="shared" si="57"/>
        <v>53.099399457217466</v>
      </c>
      <c r="BM70" s="81">
        <f t="shared" si="58"/>
        <v>17.456933750969334</v>
      </c>
      <c r="BN70" s="192">
        <f t="shared" si="59"/>
        <v>0.24741838127358592</v>
      </c>
      <c r="BO70" s="81">
        <f t="shared" si="60"/>
        <v>53</v>
      </c>
      <c r="BP70" s="49">
        <f t="shared" si="61"/>
        <v>13.113174207500053</v>
      </c>
      <c r="BQ70" s="82">
        <f t="shared" si="62"/>
        <v>4081.9052884007451</v>
      </c>
      <c r="BS70" s="193">
        <v>4081.9052884007451</v>
      </c>
    </row>
    <row r="71" spans="1:71" x14ac:dyDescent="0.25">
      <c r="A71">
        <v>8</v>
      </c>
      <c r="C71" s="9" t="s">
        <v>36</v>
      </c>
      <c r="D71" s="10" t="s">
        <v>37</v>
      </c>
      <c r="E71" s="11" t="s">
        <v>38</v>
      </c>
      <c r="F71" s="33">
        <v>44338</v>
      </c>
      <c r="G71" s="29">
        <v>0.21388888888888891</v>
      </c>
      <c r="H71" s="28">
        <v>19</v>
      </c>
      <c r="I71" s="28">
        <v>58</v>
      </c>
      <c r="J71" s="28" t="s">
        <v>90</v>
      </c>
      <c r="K71" s="10">
        <v>143</v>
      </c>
      <c r="L71" s="47">
        <f t="shared" si="53"/>
        <v>99618.87034335341</v>
      </c>
      <c r="M71" s="10">
        <f t="shared" si="43"/>
        <v>0.99618870343353405</v>
      </c>
      <c r="N71" s="10" t="s">
        <v>15</v>
      </c>
      <c r="O71" s="10">
        <f>_xll.HumidairTdbRHPsi(H71,I71,M71,N71)</f>
        <v>8.0947183912005172E-3</v>
      </c>
      <c r="P71" s="49">
        <f t="shared" si="44"/>
        <v>8.0947183912005176</v>
      </c>
      <c r="Q71" s="31"/>
      <c r="R71" s="58">
        <v>8.0947183912005176</v>
      </c>
      <c r="S71" s="4"/>
      <c r="T71" s="10">
        <v>8</v>
      </c>
      <c r="U71" s="10" t="s">
        <v>144</v>
      </c>
      <c r="V71" s="78">
        <f>_xll.HumidairTdbRHPsi(H71, I71,M71,U71)</f>
        <v>10.560334605649928</v>
      </c>
      <c r="W71" s="79">
        <v>10.560334605649928</v>
      </c>
      <c r="X71" s="4"/>
      <c r="Y71" s="10">
        <v>8</v>
      </c>
      <c r="Z71" s="10" t="s">
        <v>145</v>
      </c>
      <c r="AA71" s="78">
        <f>_xll.HumidairTdbRHPsi(H71,I71,M71,Z71)</f>
        <v>39.639832821053368</v>
      </c>
      <c r="AB71" s="81">
        <f t="shared" si="54"/>
        <v>76.639832821053375</v>
      </c>
      <c r="AC71" s="80">
        <v>76.639832821053375</v>
      </c>
      <c r="AE71" s="10" t="s">
        <v>146</v>
      </c>
      <c r="AF71" s="78">
        <f>_xll.HumidairTdbRHPsi(H71,I71,M71,AE71)</f>
        <v>19.118422678439607</v>
      </c>
      <c r="AG71" s="81">
        <f t="shared" si="45"/>
        <v>56.118422678439607</v>
      </c>
      <c r="AH71" s="80">
        <v>56.118422678439607</v>
      </c>
      <c r="AJ71" s="10" t="s">
        <v>150</v>
      </c>
      <c r="AK71" s="84">
        <f>_xll.HumidairTdbRHPsi(H71,I71,M71,AJ71)</f>
        <v>0.8415366153146735</v>
      </c>
      <c r="AL71" s="58">
        <v>0.8415366153146735</v>
      </c>
      <c r="AN71" s="48">
        <f t="shared" si="46"/>
        <v>0.50479549961296855</v>
      </c>
      <c r="AO71" s="81">
        <f t="shared" si="47"/>
        <v>16.035638981343563</v>
      </c>
      <c r="AP71" s="81">
        <f t="shared" si="25"/>
        <v>39.170842378523815</v>
      </c>
      <c r="AR71" s="58">
        <v>0.50479549961296855</v>
      </c>
      <c r="AS71" s="80">
        <v>16.035638981343563</v>
      </c>
      <c r="AT71" s="80">
        <v>39.170842378523815</v>
      </c>
      <c r="AU71" s="140"/>
      <c r="AV71" s="49">
        <f t="shared" si="48"/>
        <v>0.13020450038703146</v>
      </c>
      <c r="AW71" s="162">
        <f t="shared" si="49"/>
        <v>1.3020450038703145E-4</v>
      </c>
      <c r="AX71" s="10">
        <f t="shared" si="50"/>
        <v>56</v>
      </c>
      <c r="AY71" s="55">
        <f t="shared" si="51"/>
        <v>6.0737795340542432E-3</v>
      </c>
      <c r="AZ71" s="55">
        <f t="shared" si="52"/>
        <v>3.5665176359684337E-3</v>
      </c>
      <c r="BB71" s="58">
        <v>0.13020450038703146</v>
      </c>
      <c r="BC71" s="167">
        <v>1.3020450038703145E-4</v>
      </c>
      <c r="BD71" s="168">
        <v>56</v>
      </c>
      <c r="BE71" s="170">
        <v>6.0737795340542432E-3</v>
      </c>
      <c r="BF71" s="171">
        <v>3.5665176359684337E-3</v>
      </c>
      <c r="BH71" s="81">
        <f t="shared" si="55"/>
        <v>332.29058084759185</v>
      </c>
      <c r="BI71" s="80">
        <v>332.29058084759185</v>
      </c>
      <c r="BK71" s="81">
        <f t="shared" si="56"/>
        <v>76.639832821053375</v>
      </c>
      <c r="BL71" s="81">
        <f t="shared" si="57"/>
        <v>56.118422678439607</v>
      </c>
      <c r="BM71" s="81">
        <f t="shared" si="58"/>
        <v>20.521410142613767</v>
      </c>
      <c r="BN71" s="192">
        <f t="shared" si="59"/>
        <v>0.26776428636697686</v>
      </c>
      <c r="BO71" s="81">
        <f t="shared" si="60"/>
        <v>56</v>
      </c>
      <c r="BP71" s="49">
        <f t="shared" si="61"/>
        <v>14.994800036550703</v>
      </c>
      <c r="BQ71" s="82">
        <f t="shared" si="62"/>
        <v>4204.3252177776185</v>
      </c>
      <c r="BS71" s="193">
        <v>4204.3252177776185</v>
      </c>
    </row>
    <row r="72" spans="1:71" x14ac:dyDescent="0.25">
      <c r="A72">
        <v>9</v>
      </c>
      <c r="C72" s="68" t="s">
        <v>39</v>
      </c>
      <c r="D72" s="10" t="s">
        <v>40</v>
      </c>
      <c r="E72" s="11" t="s">
        <v>41</v>
      </c>
      <c r="F72" s="33">
        <v>44337</v>
      </c>
      <c r="G72" s="29">
        <v>0.70347222222222217</v>
      </c>
      <c r="H72" s="28">
        <v>30</v>
      </c>
      <c r="I72" s="28">
        <v>38</v>
      </c>
      <c r="J72" s="28" t="s">
        <v>93</v>
      </c>
      <c r="K72" s="10">
        <v>62</v>
      </c>
      <c r="L72" s="47">
        <f t="shared" si="53"/>
        <v>100582.39802554256</v>
      </c>
      <c r="M72" s="10">
        <f t="shared" si="43"/>
        <v>1.0058239802554256</v>
      </c>
      <c r="N72" s="10" t="s">
        <v>15</v>
      </c>
      <c r="O72" s="10">
        <f>_xll.HumidairTdbRHPsi(H72,I72,M72,N72)</f>
        <v>1.0184863719627861E-2</v>
      </c>
      <c r="P72" s="49">
        <f t="shared" si="44"/>
        <v>10.184863719627861</v>
      </c>
      <c r="Q72" s="31"/>
      <c r="R72" s="58">
        <v>10.184863719627861</v>
      </c>
      <c r="S72" s="4"/>
      <c r="T72" s="10">
        <v>9</v>
      </c>
      <c r="U72" s="10" t="s">
        <v>144</v>
      </c>
      <c r="V72" s="78">
        <f>_xll.HumidairTdbRHPsi(H72, I72,M72,U72)</f>
        <v>14.148127108611732</v>
      </c>
      <c r="W72" s="79">
        <v>14.148127108611732</v>
      </c>
      <c r="X72" s="4"/>
      <c r="Y72" s="10">
        <v>9</v>
      </c>
      <c r="Z72" s="10" t="s">
        <v>145</v>
      </c>
      <c r="AA72" s="78">
        <f>_xll.HumidairTdbRHPsi(H72,I72,M72,Z72)</f>
        <v>56.216109083107625</v>
      </c>
      <c r="AB72" s="81">
        <f t="shared" si="54"/>
        <v>93.216109083107625</v>
      </c>
      <c r="AC72" s="80">
        <v>93.216109083107625</v>
      </c>
      <c r="AE72" s="10" t="s">
        <v>146</v>
      </c>
      <c r="AF72" s="78">
        <f>_xll.HumidairTdbRHPsi(H72,I72,M72,AE72)</f>
        <v>30.186665193326881</v>
      </c>
      <c r="AG72" s="81">
        <f t="shared" si="45"/>
        <v>67.186665193326888</v>
      </c>
      <c r="AH72" s="80">
        <v>67.186665193326888</v>
      </c>
      <c r="AJ72" s="10" t="s">
        <v>150</v>
      </c>
      <c r="AK72" s="84">
        <f>_xll.HumidairTdbRHPsi(H72,I72,M72,AJ72)</f>
        <v>0.86494121773419896</v>
      </c>
      <c r="AL72" s="58">
        <v>0.86494121773419896</v>
      </c>
      <c r="AN72" s="48">
        <f t="shared" si="46"/>
        <v>0.49113614597208571</v>
      </c>
      <c r="AO72" s="81">
        <f t="shared" si="47"/>
        <v>20.737353182322543</v>
      </c>
      <c r="AP72" s="81">
        <f t="shared" si="25"/>
        <v>50.655891779404243</v>
      </c>
      <c r="AR72" s="58">
        <v>0.49113614597208571</v>
      </c>
      <c r="AS72" s="80">
        <v>20.737353182322543</v>
      </c>
      <c r="AT72" s="80">
        <v>50.655891779404243</v>
      </c>
      <c r="AU72" s="140"/>
      <c r="AV72" s="49">
        <f t="shared" si="48"/>
        <v>0.1438638540279143</v>
      </c>
      <c r="AW72" s="162">
        <f t="shared" si="49"/>
        <v>1.4386385402791429E-4</v>
      </c>
      <c r="AX72" s="10">
        <f t="shared" si="50"/>
        <v>67</v>
      </c>
      <c r="AY72" s="55">
        <f t="shared" si="51"/>
        <v>8.0291855571519247E-3</v>
      </c>
      <c r="AZ72" s="55">
        <f t="shared" si="52"/>
        <v>4.7147302155912648E-3</v>
      </c>
      <c r="BB72" s="58">
        <v>0.1438638540279143</v>
      </c>
      <c r="BC72" s="167">
        <v>1.4386385402791429E-4</v>
      </c>
      <c r="BD72" s="168">
        <v>67</v>
      </c>
      <c r="BE72" s="170">
        <v>8.0291855571519247E-3</v>
      </c>
      <c r="BF72" s="171">
        <v>4.7147302155912648E-3</v>
      </c>
      <c r="BH72" s="81">
        <f t="shared" si="55"/>
        <v>323.29906931705801</v>
      </c>
      <c r="BI72" s="80">
        <v>323.29906931705801</v>
      </c>
      <c r="BK72" s="81">
        <f t="shared" si="56"/>
        <v>93.216109083107625</v>
      </c>
      <c r="BL72" s="81">
        <f t="shared" si="57"/>
        <v>67.186665193326888</v>
      </c>
      <c r="BM72" s="81">
        <f t="shared" si="58"/>
        <v>26.029443889780737</v>
      </c>
      <c r="BN72" s="192">
        <f t="shared" si="59"/>
        <v>0.27923761403272007</v>
      </c>
      <c r="BO72" s="81">
        <f t="shared" si="60"/>
        <v>67</v>
      </c>
      <c r="BP72" s="49">
        <f t="shared" si="61"/>
        <v>18.708920140192244</v>
      </c>
      <c r="BQ72" s="82">
        <f t="shared" si="62"/>
        <v>3968.184664802925</v>
      </c>
      <c r="BS72" s="193">
        <v>3968.184664802925</v>
      </c>
    </row>
    <row r="73" spans="1:71" x14ac:dyDescent="0.25">
      <c r="A73" s="5">
        <v>10</v>
      </c>
      <c r="B73" s="14"/>
      <c r="C73" s="12" t="s">
        <v>42</v>
      </c>
      <c r="D73" s="13" t="s">
        <v>43</v>
      </c>
      <c r="E73" s="8" t="s">
        <v>44</v>
      </c>
      <c r="F73" s="33">
        <v>44337</v>
      </c>
      <c r="G73" s="29">
        <v>0.66597222222222219</v>
      </c>
      <c r="H73" s="28">
        <v>25</v>
      </c>
      <c r="I73" s="28">
        <v>74</v>
      </c>
      <c r="J73" s="28" t="s">
        <v>85</v>
      </c>
      <c r="K73" s="10">
        <v>255</v>
      </c>
      <c r="L73" s="47">
        <f t="shared" si="53"/>
        <v>98298.910193542106</v>
      </c>
      <c r="M73" s="10">
        <f t="shared" si="43"/>
        <v>0.98298910193542111</v>
      </c>
      <c r="N73" s="10" t="s">
        <v>15</v>
      </c>
      <c r="O73" s="10">
        <f>_xll.HumidairTdbRHPsi(H73,I73,M73,N73)</f>
        <v>1.5265964638788864E-2</v>
      </c>
      <c r="P73" s="49">
        <f t="shared" si="44"/>
        <v>15.265964638788864</v>
      </c>
      <c r="Q73" s="31"/>
      <c r="R73" s="58">
        <v>15.265964638788864</v>
      </c>
      <c r="S73" s="4"/>
      <c r="T73" s="10">
        <v>10</v>
      </c>
      <c r="U73" s="10" t="s">
        <v>144</v>
      </c>
      <c r="V73" s="78">
        <f>_xll.HumidairTdbRHPsi(H73, I73,M73,U73)</f>
        <v>20.046243542664683</v>
      </c>
      <c r="W73" s="79">
        <v>20.046243542664683</v>
      </c>
      <c r="X73" s="4"/>
      <c r="Y73" s="10">
        <v>10</v>
      </c>
      <c r="Z73" s="10" t="s">
        <v>145</v>
      </c>
      <c r="AA73" s="78">
        <f>_xll.HumidairTdbRHPsi(H73,I73,M73,Z73)</f>
        <v>64.026839206199853</v>
      </c>
      <c r="AB73" s="81">
        <f t="shared" si="54"/>
        <v>101.02683920619985</v>
      </c>
      <c r="AC73" s="80">
        <v>101.02683920619985</v>
      </c>
      <c r="AE73" s="10" t="s">
        <v>146</v>
      </c>
      <c r="AF73" s="78">
        <f>_xll.HumidairTdbRHPsi(H73,I73,M73,AE73)</f>
        <v>25.159343312963717</v>
      </c>
      <c r="AG73" s="81">
        <f t="shared" si="45"/>
        <v>62.159343312963713</v>
      </c>
      <c r="AH73" s="80">
        <v>62.159343312963713</v>
      </c>
      <c r="AJ73" s="10" t="s">
        <v>150</v>
      </c>
      <c r="AK73" s="84">
        <f>_xll.HumidairTdbRHPsi(H73,I73,M73,AJ73)</f>
        <v>0.87040437202113308</v>
      </c>
      <c r="AL73" s="58">
        <v>0.87040437202113308</v>
      </c>
      <c r="AN73" s="48">
        <f t="shared" si="46"/>
        <v>0.48805349539313092</v>
      </c>
      <c r="AO73" s="81">
        <f t="shared" si="47"/>
        <v>31.279285535066212</v>
      </c>
      <c r="AP73" s="81">
        <f t="shared" si="25"/>
        <v>76.407055860536772</v>
      </c>
      <c r="AR73" s="58">
        <v>0.48805349539313092</v>
      </c>
      <c r="AS73" s="80">
        <v>31.279285535066212</v>
      </c>
      <c r="AT73" s="80">
        <v>76.407055860536772</v>
      </c>
      <c r="AU73" s="140"/>
      <c r="AV73" s="49">
        <f t="shared" si="48"/>
        <v>0.14694650460686909</v>
      </c>
      <c r="AW73" s="162">
        <f t="shared" si="49"/>
        <v>1.4694650460686908E-4</v>
      </c>
      <c r="AX73" s="10">
        <f t="shared" si="50"/>
        <v>62</v>
      </c>
      <c r="AY73" s="55">
        <f t="shared" si="51"/>
        <v>7.5891991769263612E-3</v>
      </c>
      <c r="AZ73" s="55">
        <f t="shared" si="52"/>
        <v>4.4563706264981566E-3</v>
      </c>
      <c r="BB73" s="58">
        <v>0.14694650460686909</v>
      </c>
      <c r="BC73" s="167">
        <v>1.4694650460686908E-4</v>
      </c>
      <c r="BD73" s="168">
        <v>62</v>
      </c>
      <c r="BE73" s="170">
        <v>7.5891991769263612E-3</v>
      </c>
      <c r="BF73" s="171">
        <v>4.4563706264981566E-3</v>
      </c>
      <c r="BH73" s="81">
        <f t="shared" si="55"/>
        <v>321.26985995957278</v>
      </c>
      <c r="BI73" s="80">
        <v>321.26985995957278</v>
      </c>
      <c r="BK73" s="81">
        <f t="shared" si="56"/>
        <v>101.02683920619985</v>
      </c>
      <c r="BL73" s="81">
        <f t="shared" si="57"/>
        <v>62.159343312963713</v>
      </c>
      <c r="BM73" s="81">
        <f t="shared" si="58"/>
        <v>38.867495893236139</v>
      </c>
      <c r="BN73" s="192">
        <f t="shared" si="59"/>
        <v>0.38472445736826444</v>
      </c>
      <c r="BO73" s="81">
        <f t="shared" si="60"/>
        <v>62</v>
      </c>
      <c r="BP73" s="49">
        <f t="shared" si="61"/>
        <v>23.852916356832395</v>
      </c>
      <c r="BQ73" s="82">
        <f t="shared" si="62"/>
        <v>5352.5432142021282</v>
      </c>
      <c r="BS73" s="193">
        <v>5352.5432142021282</v>
      </c>
    </row>
    <row r="74" spans="1:71" x14ac:dyDescent="0.25">
      <c r="A74">
        <v>11</v>
      </c>
      <c r="C74" s="9" t="s">
        <v>77</v>
      </c>
      <c r="D74" s="10" t="s">
        <v>78</v>
      </c>
      <c r="E74" s="11" t="s">
        <v>79</v>
      </c>
      <c r="F74" s="33">
        <v>44337</v>
      </c>
      <c r="G74" s="34">
        <v>0.87847222222222221</v>
      </c>
      <c r="H74" s="28">
        <v>37</v>
      </c>
      <c r="I74" s="28">
        <v>12</v>
      </c>
      <c r="J74" s="28" t="s">
        <v>95</v>
      </c>
      <c r="K74" s="10">
        <v>138</v>
      </c>
      <c r="L74" s="47">
        <f>+((101325*(1-(2.25577*10^-5)*(K74))^5.25588))</f>
        <v>99678.130068961269</v>
      </c>
      <c r="M74" s="10">
        <f t="shared" si="43"/>
        <v>0.99678130068961268</v>
      </c>
      <c r="N74" s="10" t="s">
        <v>15</v>
      </c>
      <c r="O74" s="10">
        <f>_xll.HumidairTdbRHPsi(H74,I74,M74,N74)</f>
        <v>4.7609092691704566E-3</v>
      </c>
      <c r="P74" s="49">
        <f t="shared" si="44"/>
        <v>4.7609092691704564</v>
      </c>
      <c r="Q74" s="31"/>
      <c r="R74" s="58">
        <v>4.7609092691704564</v>
      </c>
      <c r="S74" s="4"/>
      <c r="T74" s="10">
        <v>11</v>
      </c>
      <c r="U74" s="10" t="s">
        <v>144</v>
      </c>
      <c r="V74" s="78">
        <f>_xll.HumidairTdbRHPsi(H74, I74,M74,U74)</f>
        <v>2.9296641434038975</v>
      </c>
      <c r="W74" s="79">
        <v>2.9296641434038975</v>
      </c>
      <c r="X74" s="4"/>
      <c r="Y74" s="10">
        <v>11</v>
      </c>
      <c r="Z74" s="10" t="s">
        <v>145</v>
      </c>
      <c r="AA74" s="78">
        <f>_xll.HumidairTdbRHPsi(H74,I74,M74,Z74)</f>
        <v>49.467275425234284</v>
      </c>
      <c r="AB74" s="81">
        <f t="shared" si="54"/>
        <v>86.467275425234277</v>
      </c>
      <c r="AC74" s="80">
        <v>86.467275425234277</v>
      </c>
      <c r="AE74" s="10" t="s">
        <v>146</v>
      </c>
      <c r="AF74" s="78">
        <f>_xll.HumidairTdbRHPsi(H74,I74,M74,AE74)</f>
        <v>37.235831898650275</v>
      </c>
      <c r="AG74" s="81">
        <f t="shared" si="45"/>
        <v>74.235831898650275</v>
      </c>
      <c r="AH74" s="80">
        <v>74.235831898650275</v>
      </c>
      <c r="AJ74" s="10" t="s">
        <v>150</v>
      </c>
      <c r="AK74" s="84">
        <f>_xll.HumidairTdbRHPsi(H74,I74,M74,AJ74)</f>
        <v>0.89299345473328839</v>
      </c>
      <c r="AL74" s="58">
        <v>0.89299345473328839</v>
      </c>
      <c r="AN74" s="48">
        <f t="shared" si="46"/>
        <v>0.47570773774288622</v>
      </c>
      <c r="AO74" s="81">
        <f t="shared" si="47"/>
        <v>10.008055138560023</v>
      </c>
      <c r="AP74" s="81">
        <f t="shared" si="25"/>
        <v>24.44704266566519</v>
      </c>
      <c r="AR74" s="58">
        <v>0.47570773774288622</v>
      </c>
      <c r="AS74" s="80">
        <v>10.008055138560023</v>
      </c>
      <c r="AT74" s="80">
        <v>24.44704266566519</v>
      </c>
      <c r="AU74" s="140"/>
      <c r="AV74" s="49">
        <f t="shared" si="48"/>
        <v>0.15929226225711379</v>
      </c>
      <c r="AW74" s="162">
        <f t="shared" si="49"/>
        <v>1.5929226225711379E-4</v>
      </c>
      <c r="AX74" s="10">
        <f t="shared" si="50"/>
        <v>74</v>
      </c>
      <c r="AY74" s="55">
        <f t="shared" si="51"/>
        <v>9.8190936300530073E-3</v>
      </c>
      <c r="AZ74" s="55">
        <f t="shared" si="52"/>
        <v>5.7657625543470386E-3</v>
      </c>
      <c r="BB74" s="58">
        <v>0.15929226225711379</v>
      </c>
      <c r="BC74" s="167">
        <v>1.5929226225711379E-4</v>
      </c>
      <c r="BD74" s="168">
        <v>74</v>
      </c>
      <c r="BE74" s="170">
        <v>9.8190936300530073E-3</v>
      </c>
      <c r="BF74" s="171">
        <v>5.7657625543470386E-3</v>
      </c>
      <c r="BH74" s="81">
        <f t="shared" si="55"/>
        <v>313.14304626224634</v>
      </c>
      <c r="BI74" s="80">
        <v>313.14304626224634</v>
      </c>
      <c r="BK74" s="81">
        <f t="shared" si="56"/>
        <v>86.467275425234277</v>
      </c>
      <c r="BL74" s="81">
        <f t="shared" si="57"/>
        <v>74.235831898650275</v>
      </c>
      <c r="BM74" s="81">
        <f t="shared" si="58"/>
        <v>12.231443526584002</v>
      </c>
      <c r="BN74" s="192">
        <f t="shared" si="59"/>
        <v>0.14145748743014544</v>
      </c>
      <c r="BO74" s="81">
        <f t="shared" si="60"/>
        <v>74</v>
      </c>
      <c r="BP74" s="49">
        <f t="shared" si="61"/>
        <v>10.467854069830762</v>
      </c>
      <c r="BQ74" s="82">
        <f t="shared" si="62"/>
        <v>1815.5194514450875</v>
      </c>
      <c r="BS74" s="193">
        <v>1815.5194514450875</v>
      </c>
    </row>
    <row r="75" spans="1:71" x14ac:dyDescent="0.25">
      <c r="A75">
        <v>12</v>
      </c>
      <c r="B75" s="1" t="s">
        <v>48</v>
      </c>
      <c r="C75" s="9" t="s">
        <v>45</v>
      </c>
      <c r="D75" s="10" t="s">
        <v>46</v>
      </c>
      <c r="E75" s="11" t="s">
        <v>47</v>
      </c>
      <c r="F75" s="33">
        <v>44337</v>
      </c>
      <c r="G75" s="29">
        <v>0.91805555555555562</v>
      </c>
      <c r="H75" s="28">
        <v>24</v>
      </c>
      <c r="I75" s="28">
        <v>94</v>
      </c>
      <c r="J75" s="28" t="s">
        <v>105</v>
      </c>
      <c r="K75" s="10">
        <v>30</v>
      </c>
      <c r="L75" s="47">
        <f>+((101325*(1-(2.25577*10^-5)*(K75))^5.25588))</f>
        <v>100965.12412724759</v>
      </c>
      <c r="M75" s="10">
        <f t="shared" si="43"/>
        <v>1.0096512412724759</v>
      </c>
      <c r="N75" s="10" t="s">
        <v>15</v>
      </c>
      <c r="O75" s="10">
        <f>_xll.HumidairTdbRHPsi(H75,I75,M75,N75)</f>
        <v>1.785629800353233E-2</v>
      </c>
      <c r="P75" s="49">
        <f t="shared" si="44"/>
        <v>17.856298003532331</v>
      </c>
      <c r="Q75" s="31"/>
      <c r="R75" s="58">
        <v>17.856298003532331</v>
      </c>
      <c r="S75" s="4"/>
      <c r="T75" s="10">
        <v>12</v>
      </c>
      <c r="U75" s="10" t="s">
        <v>144</v>
      </c>
      <c r="V75" s="78">
        <f>_xll.HumidairTdbRHPsi(H75, I75,M75,U75)</f>
        <v>22.974427326062596</v>
      </c>
      <c r="W75" s="79">
        <v>22.974427326062596</v>
      </c>
      <c r="X75" s="4"/>
      <c r="Y75" s="10">
        <v>12</v>
      </c>
      <c r="Z75" s="10" t="s">
        <v>145</v>
      </c>
      <c r="AA75" s="78">
        <f>_xll.HumidairTdbRHPsi(H75,I75,M75,Z75)</f>
        <v>69.571916738630293</v>
      </c>
      <c r="AB75" s="81">
        <f t="shared" si="54"/>
        <v>106.57191673863029</v>
      </c>
      <c r="AC75" s="80">
        <v>106.57191673863029</v>
      </c>
      <c r="AE75" s="10" t="s">
        <v>146</v>
      </c>
      <c r="AF75" s="78">
        <f>_xll.HumidairTdbRHPsi(H75,I75,M75,AE75)</f>
        <v>24.146779875597812</v>
      </c>
      <c r="AG75" s="81">
        <f t="shared" si="45"/>
        <v>61.146779875597815</v>
      </c>
      <c r="AH75" s="80">
        <v>61.146779875597815</v>
      </c>
      <c r="AJ75" s="10" t="s">
        <v>150</v>
      </c>
      <c r="AK75" s="84">
        <f>_xll.HumidairTdbRHPsi(H75,I75,M75,AJ75)</f>
        <v>0.84456251098191681</v>
      </c>
      <c r="AL75" s="58">
        <v>0.84456251098191681</v>
      </c>
      <c r="AN75" s="48">
        <f t="shared" si="46"/>
        <v>0.50298692002855516</v>
      </c>
      <c r="AO75" s="81">
        <f t="shared" si="47"/>
        <v>35.500521569265871</v>
      </c>
      <c r="AP75" s="81">
        <f t="shared" si="25"/>
        <v>86.718423653897119</v>
      </c>
      <c r="AR75" s="58">
        <v>0.50298692002855516</v>
      </c>
      <c r="AS75" s="80">
        <v>35.500521569265871</v>
      </c>
      <c r="AT75" s="80">
        <v>86.718423653897119</v>
      </c>
      <c r="AU75" s="140"/>
      <c r="AV75" s="49">
        <f t="shared" si="48"/>
        <v>0.13201307997144485</v>
      </c>
      <c r="AW75" s="162">
        <f t="shared" si="49"/>
        <v>1.3201307997144486E-4</v>
      </c>
      <c r="AX75" s="10">
        <f t="shared" si="50"/>
        <v>61</v>
      </c>
      <c r="AY75" s="55">
        <f t="shared" si="51"/>
        <v>6.7079806325890277E-3</v>
      </c>
      <c r="AZ75" s="55">
        <f t="shared" si="52"/>
        <v>3.9389199251843969E-3</v>
      </c>
      <c r="BB75" s="58">
        <v>0.13201307997144485</v>
      </c>
      <c r="BC75" s="167">
        <v>1.3201307997144486E-4</v>
      </c>
      <c r="BD75" s="168">
        <v>61</v>
      </c>
      <c r="BE75" s="170">
        <v>6.7079806325890277E-3</v>
      </c>
      <c r="BF75" s="171">
        <v>3.9389199251843969E-3</v>
      </c>
      <c r="BH75" s="81">
        <f t="shared" si="55"/>
        <v>331.10005129438747</v>
      </c>
      <c r="BI75" s="80">
        <v>331.10005129438747</v>
      </c>
      <c r="BK75" s="81">
        <f t="shared" si="56"/>
        <v>106.57191673863029</v>
      </c>
      <c r="BL75" s="81">
        <f t="shared" si="57"/>
        <v>61.146779875597815</v>
      </c>
      <c r="BM75" s="81">
        <f t="shared" si="58"/>
        <v>45.425136863032478</v>
      </c>
      <c r="BN75" s="192">
        <f t="shared" si="59"/>
        <v>0.42623927816216828</v>
      </c>
      <c r="BO75" s="81">
        <f t="shared" si="60"/>
        <v>61</v>
      </c>
      <c r="BP75" s="49">
        <f t="shared" si="61"/>
        <v>26.000595967892266</v>
      </c>
      <c r="BQ75" s="82">
        <f t="shared" si="62"/>
        <v>6600.9455540467916</v>
      </c>
      <c r="BS75" s="193">
        <v>6600.9455540467916</v>
      </c>
    </row>
    <row r="76" spans="1:71" x14ac:dyDescent="0.25">
      <c r="A76">
        <v>13</v>
      </c>
      <c r="C76" s="26" t="s">
        <v>49</v>
      </c>
      <c r="D76" s="27" t="s">
        <v>50</v>
      </c>
      <c r="E76" s="10" t="s">
        <v>51</v>
      </c>
      <c r="F76" s="33">
        <v>44338</v>
      </c>
      <c r="G76" s="29">
        <v>0.21319444444444444</v>
      </c>
      <c r="H76" s="28">
        <v>23</v>
      </c>
      <c r="I76" s="28">
        <v>93</v>
      </c>
      <c r="J76" s="28" t="s">
        <v>85</v>
      </c>
      <c r="K76" s="10">
        <v>3</v>
      </c>
      <c r="L76" s="47">
        <f>+((101325*(1-(2.25577*10^-5)*(K76))^5.25588))</f>
        <v>101288.96574192833</v>
      </c>
      <c r="M76" s="10">
        <f t="shared" si="43"/>
        <v>1.0128896574192834</v>
      </c>
      <c r="N76" s="10" t="s">
        <v>15</v>
      </c>
      <c r="O76" s="10">
        <f>_xll.HumidairTdbRHPsi(H76,I76,M76,N76)</f>
        <v>1.6545099683888585E-2</v>
      </c>
      <c r="P76" s="49">
        <f t="shared" si="44"/>
        <v>16.545099683888584</v>
      </c>
      <c r="Q76" s="31"/>
      <c r="R76" s="58">
        <v>16.545099683888584</v>
      </c>
      <c r="S76" s="4"/>
      <c r="T76" s="10">
        <v>13</v>
      </c>
      <c r="U76" s="10" t="s">
        <v>144</v>
      </c>
      <c r="V76" s="78">
        <f>_xll.HumidairTdbRHPsi(H76, I76,M76,U76)</f>
        <v>21.807058724421609</v>
      </c>
      <c r="W76" s="79">
        <v>21.807058724421609</v>
      </c>
      <c r="X76" s="4"/>
      <c r="Y76" s="10">
        <v>13</v>
      </c>
      <c r="Z76" s="10" t="s">
        <v>145</v>
      </c>
      <c r="AA76" s="78">
        <f>_xll.HumidairTdbRHPsi(H76,I76,M76,Z76)</f>
        <v>65.199151875201309</v>
      </c>
      <c r="AB76" s="81">
        <f t="shared" si="54"/>
        <v>102.19915187520131</v>
      </c>
      <c r="AC76" s="80">
        <v>102.19915187520131</v>
      </c>
      <c r="AE76" s="10" t="s">
        <v>146</v>
      </c>
      <c r="AF76" s="78">
        <f>_xll.HumidairTdbRHPsi(H76,I76,M76,AE76)</f>
        <v>23.139638659106449</v>
      </c>
      <c r="AG76" s="81">
        <f t="shared" si="45"/>
        <v>60.139638659106453</v>
      </c>
      <c r="AH76" s="80">
        <v>60.139638659106453</v>
      </c>
      <c r="AJ76" s="10" t="s">
        <v>150</v>
      </c>
      <c r="AK76" s="84">
        <f>_xll.HumidairTdbRHPsi(H76,I76,M76,AJ76)</f>
        <v>0.839020457375656</v>
      </c>
      <c r="AL76" s="58">
        <v>0.839020457375656</v>
      </c>
      <c r="AN76" s="48">
        <f t="shared" si="46"/>
        <v>0.50630934256252458</v>
      </c>
      <c r="AO76" s="81">
        <f t="shared" si="47"/>
        <v>32.677847894630574</v>
      </c>
      <c r="AP76" s="81">
        <f t="shared" si="25"/>
        <v>79.82337533534961</v>
      </c>
      <c r="AR76" s="58">
        <v>0.50630934256252458</v>
      </c>
      <c r="AS76" s="80">
        <v>32.677847894630574</v>
      </c>
      <c r="AT76" s="80">
        <v>79.82337533534961</v>
      </c>
      <c r="AU76" s="140"/>
      <c r="AV76" s="49">
        <f t="shared" si="48"/>
        <v>0.12869065743747543</v>
      </c>
      <c r="AW76" s="162">
        <f t="shared" si="49"/>
        <v>1.2869065743747543E-4</v>
      </c>
      <c r="AX76" s="10">
        <f t="shared" si="50"/>
        <v>60</v>
      </c>
      <c r="AY76" s="55">
        <f t="shared" si="51"/>
        <v>6.4319590587250215E-3</v>
      </c>
      <c r="AZ76" s="55">
        <f t="shared" si="52"/>
        <v>3.7768403163388263E-3</v>
      </c>
      <c r="BB76" s="58">
        <v>0.12869065743747543</v>
      </c>
      <c r="BC76" s="167">
        <v>1.2869065743747543E-4</v>
      </c>
      <c r="BD76" s="168">
        <v>60</v>
      </c>
      <c r="BE76" s="170">
        <v>6.4319590587250215E-3</v>
      </c>
      <c r="BF76" s="171">
        <v>3.7768403163388263E-3</v>
      </c>
      <c r="BH76" s="81">
        <f t="shared" si="55"/>
        <v>333.28709478918944</v>
      </c>
      <c r="BI76" s="80">
        <v>333.28709478918944</v>
      </c>
      <c r="BK76" s="81">
        <f t="shared" si="56"/>
        <v>102.19915187520131</v>
      </c>
      <c r="BL76" s="81">
        <f t="shared" si="57"/>
        <v>60.139638659106453</v>
      </c>
      <c r="BM76" s="81">
        <f t="shared" si="58"/>
        <v>42.059513216094857</v>
      </c>
      <c r="BN76" s="192">
        <f t="shared" si="59"/>
        <v>0.41154464048248746</v>
      </c>
      <c r="BO76" s="81">
        <f t="shared" si="60"/>
        <v>60</v>
      </c>
      <c r="BP76" s="49">
        <f t="shared" si="61"/>
        <v>24.692678428949247</v>
      </c>
      <c r="BQ76" s="82">
        <f t="shared" si="62"/>
        <v>6537.9196261296283</v>
      </c>
      <c r="BS76" s="193">
        <v>6537.9196261296283</v>
      </c>
    </row>
    <row r="77" spans="1:71" x14ac:dyDescent="0.25">
      <c r="A77" s="5">
        <v>14</v>
      </c>
      <c r="B77" s="14"/>
      <c r="C77" s="9" t="s">
        <v>172</v>
      </c>
      <c r="D77" s="10" t="s">
        <v>83</v>
      </c>
      <c r="E77" s="10" t="s">
        <v>84</v>
      </c>
      <c r="F77" s="33">
        <v>44338</v>
      </c>
      <c r="G77" s="29">
        <v>4.1666666666666666E-3</v>
      </c>
      <c r="H77" s="28">
        <v>27</v>
      </c>
      <c r="I77" s="28">
        <v>79</v>
      </c>
      <c r="J77" s="28" t="s">
        <v>95</v>
      </c>
      <c r="K77" s="10">
        <v>61</v>
      </c>
      <c r="L77" s="47">
        <f>+((101325*(1-(2.25577*10^-5)*(K77))^5.25588))</f>
        <v>100594.34040699142</v>
      </c>
      <c r="M77" s="10">
        <f t="shared" si="43"/>
        <v>1.0059434040699142</v>
      </c>
      <c r="N77" s="10" t="s">
        <v>15</v>
      </c>
      <c r="O77" s="10">
        <f>_xll.HumidairTdbRHPsi(H77,I77,M77,N77)</f>
        <v>1.8005336486330074E-2</v>
      </c>
      <c r="P77" s="49">
        <f t="shared" si="44"/>
        <v>18.005336486330073</v>
      </c>
      <c r="Q77" s="31"/>
      <c r="R77" s="58">
        <v>18.005336486330073</v>
      </c>
      <c r="S77" s="4"/>
      <c r="T77" s="10">
        <v>14</v>
      </c>
      <c r="U77" s="10" t="s">
        <v>144</v>
      </c>
      <c r="V77" s="78">
        <f>_xll.HumidairTdbRHPsi(H77, I77,M77,U77)</f>
        <v>23.047266436020323</v>
      </c>
      <c r="W77" s="79">
        <v>23.047266436020323</v>
      </c>
      <c r="X77" s="4"/>
      <c r="Y77" s="10">
        <v>14</v>
      </c>
      <c r="Z77" s="10" t="s">
        <v>145</v>
      </c>
      <c r="AA77" s="78">
        <f>_xll.HumidairTdbRHPsi(H77,I77,M77,Z77)</f>
        <v>73.073355060273485</v>
      </c>
      <c r="AB77" s="81">
        <f t="shared" si="54"/>
        <v>110.07335506027349</v>
      </c>
      <c r="AC77" s="80">
        <v>110.07335506027349</v>
      </c>
      <c r="AE77" s="10" t="s">
        <v>146</v>
      </c>
      <c r="AF77" s="78">
        <f>_xll.HumidairTdbRHPsi(H77,I77,M77,AE77)</f>
        <v>27.16697782624977</v>
      </c>
      <c r="AG77" s="81">
        <f t="shared" si="45"/>
        <v>64.166977826249763</v>
      </c>
      <c r="AH77" s="80">
        <v>64.166977826249763</v>
      </c>
      <c r="AJ77" s="10" t="s">
        <v>150</v>
      </c>
      <c r="AK77" s="84">
        <f>_xll.HumidairTdbRHPsi(H77,I77,M77,AJ77)</f>
        <v>0.85625774690266143</v>
      </c>
      <c r="AL77" s="58">
        <v>0.85625774690266143</v>
      </c>
      <c r="AN77" s="48">
        <f t="shared" si="46"/>
        <v>0.49611684998707334</v>
      </c>
      <c r="AO77" s="81">
        <f t="shared" si="47"/>
        <v>36.292531662246937</v>
      </c>
      <c r="AP77" s="81">
        <f t="shared" si="25"/>
        <v>88.653095702229933</v>
      </c>
      <c r="AR77" s="58">
        <v>0.49611684998707334</v>
      </c>
      <c r="AS77" s="80">
        <v>36.292531662246937</v>
      </c>
      <c r="AT77" s="80">
        <v>88.653095702229933</v>
      </c>
      <c r="AU77" s="140"/>
      <c r="AV77" s="49">
        <f t="shared" si="48"/>
        <v>0.13888315001292667</v>
      </c>
      <c r="AW77" s="162">
        <f t="shared" si="49"/>
        <v>1.3888315001292666E-4</v>
      </c>
      <c r="AX77" s="10">
        <f t="shared" si="50"/>
        <v>64</v>
      </c>
      <c r="AY77" s="55">
        <f t="shared" si="51"/>
        <v>7.4041384934891456E-3</v>
      </c>
      <c r="AZ77" s="55">
        <f t="shared" si="52"/>
        <v>4.3477031670517592E-3</v>
      </c>
      <c r="BB77" s="58">
        <v>0.13888315001292667</v>
      </c>
      <c r="BC77" s="167">
        <v>1.3888315001292666E-4</v>
      </c>
      <c r="BD77" s="168">
        <v>64</v>
      </c>
      <c r="BE77" s="170">
        <v>7.4041384934891456E-3</v>
      </c>
      <c r="BF77" s="171">
        <v>4.3477031670517592E-3</v>
      </c>
      <c r="BH77" s="81">
        <f t="shared" si="55"/>
        <v>326.57770597574279</v>
      </c>
      <c r="BI77" s="80">
        <v>326.57770597574279</v>
      </c>
      <c r="BK77" s="81">
        <f t="shared" si="56"/>
        <v>110.07335506027349</v>
      </c>
      <c r="BL77" s="81">
        <f t="shared" si="57"/>
        <v>64.166977826249763</v>
      </c>
      <c r="BM77" s="81">
        <f t="shared" si="58"/>
        <v>45.906377234023722</v>
      </c>
      <c r="BN77" s="192">
        <f t="shared" si="59"/>
        <v>0.41705258469578316</v>
      </c>
      <c r="BO77" s="81">
        <f t="shared" si="60"/>
        <v>64</v>
      </c>
      <c r="BP77" s="49">
        <f t="shared" si="61"/>
        <v>26.691365420530122</v>
      </c>
      <c r="BQ77" s="82">
        <f t="shared" si="62"/>
        <v>6139.1876112439213</v>
      </c>
      <c r="BS77" s="193">
        <v>6139.1876112439213</v>
      </c>
    </row>
    <row r="78" spans="1:71" x14ac:dyDescent="0.25">
      <c r="A78">
        <v>15</v>
      </c>
      <c r="C78" s="9" t="s">
        <v>52</v>
      </c>
      <c r="D78" s="10" t="s">
        <v>53</v>
      </c>
      <c r="E78" s="10" t="s">
        <v>54</v>
      </c>
      <c r="F78" s="33">
        <v>44337</v>
      </c>
      <c r="G78" s="29">
        <v>0.7090277777777777</v>
      </c>
      <c r="H78" s="28">
        <v>14</v>
      </c>
      <c r="I78" s="28">
        <v>43</v>
      </c>
      <c r="J78" s="28" t="s">
        <v>104</v>
      </c>
      <c r="K78" s="10">
        <v>533</v>
      </c>
      <c r="L78" s="47">
        <f t="shared" ref="L78:L83" si="63">+((101325*(1-(2.25577*10^-5)*(K78))^5.25588))</f>
        <v>95083.68775760736</v>
      </c>
      <c r="M78" s="10">
        <f t="shared" si="43"/>
        <v>0.9508368775760736</v>
      </c>
      <c r="N78" s="10" t="s">
        <v>15</v>
      </c>
      <c r="O78" s="10">
        <f>_xll.HumidairTdbRHPsi(H78,I78,M78,N78)</f>
        <v>4.546755228395696E-3</v>
      </c>
      <c r="P78" s="49">
        <f t="shared" si="44"/>
        <v>4.5467552283956962</v>
      </c>
      <c r="Q78" s="31"/>
      <c r="R78" s="58">
        <v>4.5467552283956962</v>
      </c>
      <c r="S78" s="4"/>
      <c r="T78" s="10">
        <v>15</v>
      </c>
      <c r="U78" s="10" t="s">
        <v>144</v>
      </c>
      <c r="V78" s="78">
        <f>_xll.HumidairTdbRHPsi(H78, I78,M78,U78)</f>
        <v>1.6292618385634796</v>
      </c>
      <c r="W78" s="79">
        <v>1.6292618385634796</v>
      </c>
      <c r="X78" s="4"/>
      <c r="Y78" s="10">
        <v>15</v>
      </c>
      <c r="Z78" s="10" t="s">
        <v>145</v>
      </c>
      <c r="AA78" s="78">
        <f>_xll.HumidairTdbRHPsi(H78,I78,M78,Z78)</f>
        <v>25.584531656771553</v>
      </c>
      <c r="AB78" s="81">
        <f t="shared" si="54"/>
        <v>62.584531656771553</v>
      </c>
      <c r="AC78" s="80">
        <v>62.584531656771553</v>
      </c>
      <c r="AE78" s="10" t="s">
        <v>146</v>
      </c>
      <c r="AF78" s="78">
        <f>_xll.HumidairTdbRHPsi(H78,I78,M78,AE78)</f>
        <v>14.099013873962138</v>
      </c>
      <c r="AG78" s="81">
        <f t="shared" si="45"/>
        <v>51.099013873962136</v>
      </c>
      <c r="AH78" s="80">
        <v>51.099013873962136</v>
      </c>
      <c r="AJ78" s="10" t="s">
        <v>150</v>
      </c>
      <c r="AK78" s="84">
        <f>_xll.HumidairTdbRHPsi(H78,I78,M78,AJ78)</f>
        <v>0.86655791151787942</v>
      </c>
      <c r="AL78" s="58">
        <v>0.86655791151787942</v>
      </c>
      <c r="AN78" s="48">
        <f t="shared" si="46"/>
        <v>0.49021985781225225</v>
      </c>
      <c r="AO78" s="81">
        <f t="shared" si="47"/>
        <v>9.2749307396214125</v>
      </c>
      <c r="AP78" s="81">
        <f t="shared" si="25"/>
        <v>22.656212857879868</v>
      </c>
      <c r="AR78" s="58">
        <v>0.49021985781225225</v>
      </c>
      <c r="AS78" s="80">
        <v>9.2749307396214125</v>
      </c>
      <c r="AT78" s="80">
        <v>22.656212857879868</v>
      </c>
      <c r="AU78" s="140"/>
      <c r="AV78" s="49">
        <f t="shared" si="48"/>
        <v>0.14478014218774776</v>
      </c>
      <c r="AW78" s="162">
        <f t="shared" si="49"/>
        <v>1.4478014218774777E-4</v>
      </c>
      <c r="AX78" s="10">
        <f t="shared" si="50"/>
        <v>51</v>
      </c>
      <c r="AY78" s="55">
        <f t="shared" si="51"/>
        <v>6.1506947805620889E-3</v>
      </c>
      <c r="AZ78" s="55">
        <f t="shared" si="52"/>
        <v>3.6116821964545442E-3</v>
      </c>
      <c r="BB78" s="58">
        <v>0.14478014218774776</v>
      </c>
      <c r="BC78" s="167">
        <v>1.4478014218774777E-4</v>
      </c>
      <c r="BD78" s="168">
        <v>51</v>
      </c>
      <c r="BE78" s="170">
        <v>6.1506947805620889E-3</v>
      </c>
      <c r="BF78" s="171">
        <v>3.6116821964545442E-3</v>
      </c>
      <c r="BH78" s="81">
        <f t="shared" si="55"/>
        <v>322.69590640239596</v>
      </c>
      <c r="BI78" s="80">
        <v>322.69590640239596</v>
      </c>
      <c r="BK78" s="81">
        <f t="shared" si="56"/>
        <v>62.584531656771553</v>
      </c>
      <c r="BL78" s="81">
        <f t="shared" si="57"/>
        <v>51.099013873962136</v>
      </c>
      <c r="BM78" s="81">
        <f t="shared" si="58"/>
        <v>11.485517782809417</v>
      </c>
      <c r="BN78" s="192">
        <f t="shared" si="59"/>
        <v>0.18352007243257371</v>
      </c>
      <c r="BO78" s="81">
        <f t="shared" si="60"/>
        <v>51</v>
      </c>
      <c r="BP78" s="49">
        <f t="shared" si="61"/>
        <v>9.3595236940612594</v>
      </c>
      <c r="BQ78" s="82">
        <f t="shared" si="62"/>
        <v>2591.4582692932286</v>
      </c>
      <c r="BS78" s="193">
        <v>2591.4582692932286</v>
      </c>
    </row>
    <row r="79" spans="1:71" x14ac:dyDescent="0.25">
      <c r="A79">
        <v>16</v>
      </c>
      <c r="C79" s="9" t="s">
        <v>55</v>
      </c>
      <c r="D79" s="10" t="s">
        <v>56</v>
      </c>
      <c r="E79" s="11" t="s">
        <v>57</v>
      </c>
      <c r="F79" s="33">
        <v>44337</v>
      </c>
      <c r="G79" s="29">
        <v>0.95833333333333337</v>
      </c>
      <c r="H79" s="28">
        <v>13</v>
      </c>
      <c r="I79" s="28">
        <v>66</v>
      </c>
      <c r="J79" s="28" t="s">
        <v>102</v>
      </c>
      <c r="K79" s="10">
        <v>61</v>
      </c>
      <c r="L79" s="47">
        <f t="shared" si="63"/>
        <v>100594.34040699142</v>
      </c>
      <c r="M79" s="10">
        <f t="shared" si="43"/>
        <v>1.0059434040699142</v>
      </c>
      <c r="N79" s="10" t="s">
        <v>15</v>
      </c>
      <c r="O79" s="10">
        <f>_xll.HumidairTdbRHPsi(H79,I79,M79,N79)</f>
        <v>6.1975375284502318E-3</v>
      </c>
      <c r="P79" s="49">
        <f t="shared" si="44"/>
        <v>6.1975375284502316</v>
      </c>
      <c r="Q79" s="31"/>
      <c r="R79" s="58">
        <v>6.1975375284502316</v>
      </c>
      <c r="S79" s="4"/>
      <c r="T79" s="10">
        <v>16</v>
      </c>
      <c r="U79" s="10" t="s">
        <v>144</v>
      </c>
      <c r="V79" s="78">
        <f>_xll.HumidairTdbRHPsi(H79, I79,M79,U79)</f>
        <v>6.8044561792294758</v>
      </c>
      <c r="W79" s="79">
        <v>6.8044561792294758</v>
      </c>
      <c r="X79" s="4"/>
      <c r="Y79" s="10">
        <v>16</v>
      </c>
      <c r="Z79" s="10" t="s">
        <v>145</v>
      </c>
      <c r="AA79" s="78">
        <f>_xll.HumidairTdbRHPsi(H79,I79,M79,Z79)</f>
        <v>28.721853976617091</v>
      </c>
      <c r="AB79" s="81">
        <f t="shared" si="54"/>
        <v>65.721853976617098</v>
      </c>
      <c r="AC79" s="80">
        <v>65.721853976617098</v>
      </c>
      <c r="AE79" s="10" t="s">
        <v>146</v>
      </c>
      <c r="AF79" s="78">
        <f>_xll.HumidairTdbRHPsi(H79,I79,M79,AE79)</f>
        <v>13.079159944338677</v>
      </c>
      <c r="AG79" s="81">
        <f t="shared" si="45"/>
        <v>50.079159944338677</v>
      </c>
      <c r="AH79" s="80">
        <v>50.079159944338677</v>
      </c>
      <c r="AJ79" s="10" t="s">
        <v>150</v>
      </c>
      <c r="AK79" s="84">
        <f>_xll.HumidairTdbRHPsi(H79,I79,M79,AJ79)</f>
        <v>0.81620736378932457</v>
      </c>
      <c r="AL79" s="58">
        <v>0.81620736378932457</v>
      </c>
      <c r="AN79" s="48">
        <f t="shared" si="46"/>
        <v>0.52046074933480435</v>
      </c>
      <c r="AO79" s="81">
        <f t="shared" si="47"/>
        <v>11.907790426792495</v>
      </c>
      <c r="AP79" s="81">
        <f t="shared" si="25"/>
        <v>29.087595600465598</v>
      </c>
      <c r="AR79" s="58">
        <v>0.52046074933480435</v>
      </c>
      <c r="AS79" s="80">
        <v>11.907790426792495</v>
      </c>
      <c r="AT79" s="80">
        <v>29.087595600465598</v>
      </c>
      <c r="AU79" s="140"/>
      <c r="AV79" s="49">
        <f t="shared" si="48"/>
        <v>0.11453925066519566</v>
      </c>
      <c r="AW79" s="162">
        <f t="shared" si="49"/>
        <v>1.1453925066519565E-4</v>
      </c>
      <c r="AX79" s="10">
        <f t="shared" si="50"/>
        <v>50</v>
      </c>
      <c r="AY79" s="55">
        <f t="shared" si="51"/>
        <v>4.7705597902053991E-3</v>
      </c>
      <c r="AZ79" s="55">
        <f t="shared" si="52"/>
        <v>2.8012682267794472E-3</v>
      </c>
      <c r="BB79" s="58">
        <v>0.11453925066519566</v>
      </c>
      <c r="BC79" s="167">
        <v>1.1453925066519565E-4</v>
      </c>
      <c r="BD79" s="168">
        <v>50</v>
      </c>
      <c r="BE79" s="170">
        <v>4.7705597902053991E-3</v>
      </c>
      <c r="BF79" s="171">
        <v>2.8012682267794472E-3</v>
      </c>
      <c r="BH79" s="81">
        <f t="shared" si="55"/>
        <v>342.60250901094207</v>
      </c>
      <c r="BI79" s="80">
        <v>342.60250901094207</v>
      </c>
      <c r="BK79" s="81">
        <f t="shared" si="56"/>
        <v>65.721853976617098</v>
      </c>
      <c r="BL79" s="81">
        <f t="shared" si="57"/>
        <v>50.079159944338677</v>
      </c>
      <c r="BM79" s="81">
        <f t="shared" si="58"/>
        <v>15.64269403227842</v>
      </c>
      <c r="BN79" s="192">
        <f t="shared" si="59"/>
        <v>0.23801358430703839</v>
      </c>
      <c r="BO79" s="81">
        <f t="shared" si="60"/>
        <v>50</v>
      </c>
      <c r="BP79" s="49">
        <f t="shared" si="61"/>
        <v>11.90067921535192</v>
      </c>
      <c r="BQ79" s="82">
        <f t="shared" si="62"/>
        <v>4248.3183515181809</v>
      </c>
      <c r="BS79" s="193">
        <v>4248.3183515181809</v>
      </c>
    </row>
    <row r="80" spans="1:71" x14ac:dyDescent="0.25">
      <c r="A80">
        <v>17</v>
      </c>
      <c r="B80" s="1" t="s">
        <v>58</v>
      </c>
      <c r="C80" s="15" t="s">
        <v>59</v>
      </c>
      <c r="D80" s="16" t="s">
        <v>60</v>
      </c>
      <c r="E80" s="4" t="s">
        <v>61</v>
      </c>
      <c r="F80" s="33">
        <v>44338</v>
      </c>
      <c r="G80" s="29">
        <v>0.28958333333333336</v>
      </c>
      <c r="H80" s="28">
        <v>7</v>
      </c>
      <c r="I80" s="28">
        <v>82</v>
      </c>
      <c r="J80" s="36" t="s">
        <v>102</v>
      </c>
      <c r="K80" s="10">
        <v>9</v>
      </c>
      <c r="L80" s="47">
        <f t="shared" si="63"/>
        <v>101216.9283556498</v>
      </c>
      <c r="M80" s="10">
        <f t="shared" si="43"/>
        <v>1.0121692835564979</v>
      </c>
      <c r="N80" s="10" t="s">
        <v>15</v>
      </c>
      <c r="O80" s="10">
        <f>_xll.HumidairTdbRHPsi(H80,I80,M80,N80)</f>
        <v>5.1102555118152111E-3</v>
      </c>
      <c r="P80" s="49">
        <f t="shared" si="44"/>
        <v>5.1102555118152111</v>
      </c>
      <c r="Q80" s="31"/>
      <c r="R80" s="58">
        <v>5.1102555118152111</v>
      </c>
      <c r="S80" s="4"/>
      <c r="T80" s="10">
        <v>17</v>
      </c>
      <c r="U80" s="10" t="s">
        <v>144</v>
      </c>
      <c r="V80" s="78">
        <f>_xll.HumidairTdbRHPsi(H80, I80,M80,U80)</f>
        <v>4.1414692859404454</v>
      </c>
      <c r="W80" s="79">
        <v>4.1414692859404454</v>
      </c>
      <c r="X80" s="4"/>
      <c r="Y80" s="10">
        <v>17</v>
      </c>
      <c r="Z80" s="10" t="s">
        <v>145</v>
      </c>
      <c r="AA80" s="78">
        <f>_xll.HumidairTdbRHPsi(H80,I80,M80,Z80)</f>
        <v>19.882763442772113</v>
      </c>
      <c r="AB80" s="81">
        <f t="shared" si="54"/>
        <v>56.882763442772116</v>
      </c>
      <c r="AC80" s="80">
        <v>56.882763442772116</v>
      </c>
      <c r="AE80" s="10" t="s">
        <v>146</v>
      </c>
      <c r="AF80" s="78">
        <f>_xll.HumidairTdbRHPsi(H80,I80,M80,AE80)</f>
        <v>7.0415030405809862</v>
      </c>
      <c r="AG80" s="81">
        <f t="shared" si="45"/>
        <v>44.041503040580984</v>
      </c>
      <c r="AH80" s="80">
        <v>44.041503040580984</v>
      </c>
      <c r="AJ80" s="10" t="s">
        <v>150</v>
      </c>
      <c r="AK80" s="84">
        <f>_xll.HumidairTdbRHPsi(H80,I80,M80,AJ80)</f>
        <v>0.79412181689121442</v>
      </c>
      <c r="AL80" s="58">
        <v>0.79412181689121442</v>
      </c>
      <c r="AN80" s="48">
        <f t="shared" si="46"/>
        <v>0.53493543072947758</v>
      </c>
      <c r="AO80" s="81">
        <f t="shared" si="47"/>
        <v>9.5530324189715543</v>
      </c>
      <c r="AP80" s="81">
        <f t="shared" si="25"/>
        <v>23.335542010880946</v>
      </c>
      <c r="AR80" s="58">
        <v>0.53493543072947758</v>
      </c>
      <c r="AS80" s="80">
        <v>9.5530324189715543</v>
      </c>
      <c r="AT80" s="80">
        <v>23.335542010880946</v>
      </c>
      <c r="AU80" s="140"/>
      <c r="AV80" s="49">
        <f t="shared" si="48"/>
        <v>0.10006456927052243</v>
      </c>
      <c r="AW80" s="162">
        <f t="shared" si="49"/>
        <v>1.0006456927052243E-4</v>
      </c>
      <c r="AX80" s="10">
        <f t="shared" si="50"/>
        <v>44</v>
      </c>
      <c r="AY80" s="55">
        <f t="shared" si="51"/>
        <v>3.6675665929031876E-3</v>
      </c>
      <c r="AZ80" s="55">
        <f t="shared" si="52"/>
        <v>2.1535916576060996E-3</v>
      </c>
      <c r="BB80" s="58">
        <v>0.10006456927052243</v>
      </c>
      <c r="BC80" s="167">
        <v>1.0006456927052243E-4</v>
      </c>
      <c r="BD80" s="168">
        <v>44</v>
      </c>
      <c r="BE80" s="170">
        <v>3.6675665929031876E-3</v>
      </c>
      <c r="BF80" s="171">
        <v>2.1535916576060996E-3</v>
      </c>
      <c r="BH80" s="81">
        <f t="shared" si="55"/>
        <v>352.13072448019153</v>
      </c>
      <c r="BI80" s="80">
        <v>352.13072448019153</v>
      </c>
      <c r="BK80" s="81">
        <f t="shared" si="56"/>
        <v>56.882763442772116</v>
      </c>
      <c r="BL80" s="81">
        <f t="shared" si="57"/>
        <v>44.041503040580984</v>
      </c>
      <c r="BM80" s="81">
        <f t="shared" si="58"/>
        <v>12.841260402191132</v>
      </c>
      <c r="BN80" s="192">
        <f t="shared" si="59"/>
        <v>0.22574958783622218</v>
      </c>
      <c r="BO80" s="81">
        <f t="shared" si="60"/>
        <v>44</v>
      </c>
      <c r="BP80" s="49">
        <f t="shared" si="61"/>
        <v>9.932981864793776</v>
      </c>
      <c r="BQ80" s="82">
        <f t="shared" si="62"/>
        <v>4612.2865631059931</v>
      </c>
      <c r="BS80" s="193">
        <v>4612.2865631059931</v>
      </c>
    </row>
    <row r="81" spans="1:71" x14ac:dyDescent="0.25">
      <c r="A81">
        <v>18</v>
      </c>
      <c r="C81" s="9" t="s">
        <v>62</v>
      </c>
      <c r="D81" s="10" t="s">
        <v>63</v>
      </c>
      <c r="E81" s="11" t="s">
        <v>64</v>
      </c>
      <c r="F81" s="33">
        <v>44338</v>
      </c>
      <c r="G81" s="29">
        <v>0.37847222222222227</v>
      </c>
      <c r="H81" s="28">
        <v>5</v>
      </c>
      <c r="I81" s="28">
        <v>87</v>
      </c>
      <c r="J81" s="28" t="s">
        <v>100</v>
      </c>
      <c r="K81" s="10">
        <v>6</v>
      </c>
      <c r="L81" s="47">
        <f t="shared" si="63"/>
        <v>101252.94186124044</v>
      </c>
      <c r="M81" s="10">
        <f t="shared" si="43"/>
        <v>1.0125294186124043</v>
      </c>
      <c r="N81" s="10" t="s">
        <v>15</v>
      </c>
      <c r="O81" s="10">
        <f>_xll.HumidairTdbRHPsi(H81,I81,M81,N81)</f>
        <v>4.7166028225222719E-3</v>
      </c>
      <c r="P81" s="49">
        <f t="shared" si="44"/>
        <v>4.7166028225222716</v>
      </c>
      <c r="Q81" s="31"/>
      <c r="R81" s="58">
        <v>4.7166028225222716</v>
      </c>
      <c r="S81" s="4"/>
      <c r="T81" s="82">
        <v>18</v>
      </c>
      <c r="U81" s="10" t="s">
        <v>144</v>
      </c>
      <c r="V81" s="78">
        <f>_xll.HumidairTdbRHPsi(H81, I81,M81,U81)</f>
        <v>3.019142244496436</v>
      </c>
      <c r="W81" s="79">
        <v>3.019142244496436</v>
      </c>
      <c r="X81" s="4"/>
      <c r="Y81" s="82">
        <v>18</v>
      </c>
      <c r="Z81" s="10" t="s">
        <v>145</v>
      </c>
      <c r="AA81" s="78">
        <f>_xll.HumidairTdbRHPsi(H81,I81,M81,Z81)</f>
        <v>16.864094320756518</v>
      </c>
      <c r="AB81" s="81">
        <f t="shared" si="54"/>
        <v>53.864094320756521</v>
      </c>
      <c r="AC81" s="80">
        <v>53.864094320756521</v>
      </c>
      <c r="AE81" s="10" t="s">
        <v>146</v>
      </c>
      <c r="AF81" s="78">
        <f>_xll.HumidairTdbRHPsi(H81,I81,M81,AE81)</f>
        <v>5.0295456140922257</v>
      </c>
      <c r="AG81" s="81">
        <f t="shared" si="45"/>
        <v>42.029545614092228</v>
      </c>
      <c r="AH81" s="80">
        <v>42.029545614092228</v>
      </c>
      <c r="AJ81" s="10" t="s">
        <v>150</v>
      </c>
      <c r="AK81" s="84">
        <f>_xll.HumidairTdbRHPsi(H81,I81,M81,AJ81)</f>
        <v>0.78815305927172252</v>
      </c>
      <c r="AL81" s="58">
        <v>0.78815305927172252</v>
      </c>
      <c r="AN81" s="48">
        <f t="shared" si="46"/>
        <v>0.5389865473121539</v>
      </c>
      <c r="AO81" s="81">
        <f t="shared" si="47"/>
        <v>8.7508729968183285</v>
      </c>
      <c r="AP81" s="81">
        <f t="shared" si="25"/>
        <v>21.376077824628787</v>
      </c>
      <c r="AR81" s="58">
        <v>0.5389865473121539</v>
      </c>
      <c r="AS81" s="80">
        <v>8.7508729968183285</v>
      </c>
      <c r="AT81" s="80">
        <v>21.376077824628787</v>
      </c>
      <c r="AU81" s="140"/>
      <c r="AV81" s="49">
        <f t="shared" si="48"/>
        <v>9.6013452687846113E-2</v>
      </c>
      <c r="AW81" s="162">
        <f t="shared" si="49"/>
        <v>9.6013452687846115E-5</v>
      </c>
      <c r="AX81" s="10">
        <f t="shared" si="50"/>
        <v>42</v>
      </c>
      <c r="AY81" s="55">
        <f t="shared" si="51"/>
        <v>3.3591266557369838E-3</v>
      </c>
      <c r="AZ81" s="55">
        <f t="shared" si="52"/>
        <v>1.9724760162871308E-3</v>
      </c>
      <c r="BB81" s="58">
        <v>9.6013452687846113E-2</v>
      </c>
      <c r="BC81" s="167">
        <v>9.6013452687846115E-5</v>
      </c>
      <c r="BD81" s="168">
        <v>42</v>
      </c>
      <c r="BE81" s="170">
        <v>3.3591266557369838E-3</v>
      </c>
      <c r="BF81" s="171">
        <v>1.9724760162871308E-3</v>
      </c>
      <c r="BH81" s="81">
        <f t="shared" si="55"/>
        <v>354.79744374248872</v>
      </c>
      <c r="BI81" s="80">
        <v>354.79744374248872</v>
      </c>
      <c r="BK81" s="81">
        <f t="shared" si="56"/>
        <v>53.864094320756521</v>
      </c>
      <c r="BL81" s="81">
        <f t="shared" si="57"/>
        <v>42.029545614092228</v>
      </c>
      <c r="BM81" s="81">
        <f t="shared" si="58"/>
        <v>11.834548706664293</v>
      </c>
      <c r="BN81" s="192">
        <f t="shared" si="59"/>
        <v>0.21971127252582157</v>
      </c>
      <c r="BO81" s="81">
        <f t="shared" si="60"/>
        <v>42</v>
      </c>
      <c r="BP81" s="49">
        <f t="shared" si="61"/>
        <v>9.2278734460845051</v>
      </c>
      <c r="BQ81" s="82">
        <f t="shared" si="62"/>
        <v>4678.3197209436767</v>
      </c>
      <c r="BS81" s="193">
        <v>4678.3197209436767</v>
      </c>
    </row>
    <row r="82" spans="1:71" x14ac:dyDescent="0.25">
      <c r="A82" s="5">
        <v>19</v>
      </c>
      <c r="B82" s="14"/>
      <c r="C82" s="15" t="s">
        <v>65</v>
      </c>
      <c r="D82" s="16" t="s">
        <v>66</v>
      </c>
      <c r="E82" s="4" t="s">
        <v>67</v>
      </c>
      <c r="F82" s="33">
        <v>44337</v>
      </c>
      <c r="G82" s="29">
        <v>0.75138888888888899</v>
      </c>
      <c r="H82" s="28">
        <v>7</v>
      </c>
      <c r="I82" s="28">
        <v>95</v>
      </c>
      <c r="J82" s="28" t="s">
        <v>87</v>
      </c>
      <c r="K82" s="10">
        <v>15</v>
      </c>
      <c r="L82" s="47">
        <f t="shared" si="63"/>
        <v>101144.93246061618</v>
      </c>
      <c r="M82" s="10">
        <f t="shared" si="43"/>
        <v>1.0114493246061618</v>
      </c>
      <c r="N82" s="10" t="s">
        <v>15</v>
      </c>
      <c r="O82" s="10">
        <f>_xll.HumidairTdbRHPsi(H82,I82,M82,N82)</f>
        <v>5.9323856900035552E-3</v>
      </c>
      <c r="P82" s="49">
        <f t="shared" si="44"/>
        <v>5.9323856900035556</v>
      </c>
      <c r="Q82" s="31"/>
      <c r="R82" s="58">
        <v>5.9323856900035556</v>
      </c>
      <c r="S82" s="4"/>
      <c r="T82" s="82">
        <v>19</v>
      </c>
      <c r="U82" s="10" t="s">
        <v>144</v>
      </c>
      <c r="V82" s="78">
        <f>_xll.HumidairTdbRHPsi(H82, I82,M82,U82)</f>
        <v>6.2548327230509244</v>
      </c>
      <c r="W82" s="79">
        <v>6.2548327230509244</v>
      </c>
      <c r="X82" s="4"/>
      <c r="Y82" s="82">
        <v>19</v>
      </c>
      <c r="Z82" s="10" t="s">
        <v>145</v>
      </c>
      <c r="AA82" s="78">
        <f>_xll.HumidairTdbRHPsi(H82,I82,M82,Z82)</f>
        <v>21.948393675224587</v>
      </c>
      <c r="AB82" s="81">
        <f t="shared" si="54"/>
        <v>58.948393675224587</v>
      </c>
      <c r="AC82" s="80">
        <v>58.948393675224587</v>
      </c>
      <c r="AE82" s="10" t="s">
        <v>146</v>
      </c>
      <c r="AF82" s="78">
        <f>_xll.HumidairTdbRHPsi(H82,I82,M82,AE82)</f>
        <v>7.0416924565871115</v>
      </c>
      <c r="AG82" s="81">
        <f t="shared" si="45"/>
        <v>44.041692456587114</v>
      </c>
      <c r="AH82" s="80">
        <v>44.041692456587114</v>
      </c>
      <c r="AJ82" s="10" t="s">
        <v>150</v>
      </c>
      <c r="AK82" s="84">
        <f>_xll.HumidairTdbRHPsi(H82,I82,M82,AJ82)</f>
        <v>0.79468735964410264</v>
      </c>
      <c r="AL82" s="58">
        <v>0.79468735964410264</v>
      </c>
      <c r="AN82" s="48">
        <f t="shared" si="46"/>
        <v>0.53455474157865523</v>
      </c>
      <c r="AO82" s="81">
        <f t="shared" si="47"/>
        <v>11.097807630485034</v>
      </c>
      <c r="AP82" s="81">
        <f t="shared" si="25"/>
        <v>27.109020971765823</v>
      </c>
      <c r="AR82" s="58">
        <v>0.53455474157865523</v>
      </c>
      <c r="AS82" s="80">
        <v>11.097807630485034</v>
      </c>
      <c r="AT82" s="80">
        <v>27.109020971765823</v>
      </c>
      <c r="AU82" s="140"/>
      <c r="AV82" s="49">
        <f t="shared" si="48"/>
        <v>0.10044525842134477</v>
      </c>
      <c r="AW82" s="162">
        <f t="shared" si="49"/>
        <v>1.0044525842134478E-4</v>
      </c>
      <c r="AX82" s="10">
        <f t="shared" si="50"/>
        <v>44</v>
      </c>
      <c r="AY82" s="55">
        <f t="shared" si="51"/>
        <v>3.6815196116591286E-3</v>
      </c>
      <c r="AZ82" s="55">
        <f t="shared" si="52"/>
        <v>2.1617848571104689E-3</v>
      </c>
      <c r="BB82" s="58">
        <v>0.10044525842134477</v>
      </c>
      <c r="BC82" s="167">
        <v>1.0044525842134478E-4</v>
      </c>
      <c r="BD82" s="168">
        <v>44</v>
      </c>
      <c r="BE82" s="170">
        <v>3.6815196116591286E-3</v>
      </c>
      <c r="BF82" s="171">
        <v>2.1617848571104689E-3</v>
      </c>
      <c r="BH82" s="81">
        <f t="shared" si="55"/>
        <v>351.88012910216986</v>
      </c>
      <c r="BI82" s="80">
        <v>351.88012910216986</v>
      </c>
      <c r="BK82" s="81">
        <f t="shared" si="56"/>
        <v>58.948393675224587</v>
      </c>
      <c r="BL82" s="81">
        <f t="shared" si="57"/>
        <v>44.041692456587114</v>
      </c>
      <c r="BM82" s="81">
        <f t="shared" si="58"/>
        <v>14.906701218637473</v>
      </c>
      <c r="BN82" s="192">
        <f t="shared" si="59"/>
        <v>0.25287714031302955</v>
      </c>
      <c r="BO82" s="81">
        <f t="shared" si="60"/>
        <v>44</v>
      </c>
      <c r="BP82" s="49">
        <f t="shared" si="61"/>
        <v>11.126594173773301</v>
      </c>
      <c r="BQ82" s="82">
        <f t="shared" si="62"/>
        <v>5146.9479662493177</v>
      </c>
      <c r="BS82" s="193">
        <v>5146.9479662493177</v>
      </c>
    </row>
    <row r="83" spans="1:71" x14ac:dyDescent="0.25">
      <c r="A83" s="5">
        <v>20</v>
      </c>
      <c r="B83" s="17" t="s">
        <v>68</v>
      </c>
      <c r="C83" s="9" t="s">
        <v>69</v>
      </c>
      <c r="D83" s="10" t="s">
        <v>70</v>
      </c>
      <c r="E83" s="18" t="s">
        <v>71</v>
      </c>
      <c r="F83" s="33">
        <v>44338</v>
      </c>
      <c r="G83" s="29">
        <v>0.37777777777777777</v>
      </c>
      <c r="H83" s="28">
        <v>-33</v>
      </c>
      <c r="I83" s="28">
        <v>43</v>
      </c>
      <c r="J83" s="28" t="s">
        <v>102</v>
      </c>
      <c r="K83" s="10">
        <v>10</v>
      </c>
      <c r="L83" s="47">
        <f t="shared" si="63"/>
        <v>101204.92615896827</v>
      </c>
      <c r="M83" s="10">
        <f t="shared" si="43"/>
        <v>1.0120492615896828</v>
      </c>
      <c r="N83" s="10" t="s">
        <v>15</v>
      </c>
      <c r="O83" s="55">
        <f>_xll.HumidairTdbRHPsi(H83,I83,M83,N83)</f>
        <v>7.3605546922400229E-5</v>
      </c>
      <c r="P83" s="49">
        <f t="shared" si="44"/>
        <v>7.3605546922400233E-2</v>
      </c>
      <c r="Q83" s="31"/>
      <c r="R83" s="58">
        <v>7.3605546922400233E-2</v>
      </c>
      <c r="S83" s="4"/>
      <c r="T83" s="82">
        <v>20</v>
      </c>
      <c r="U83" s="10" t="s">
        <v>144</v>
      </c>
      <c r="V83" s="78">
        <f>_xll.HumidairTdbRHPsi(H83, I83,M83,U83)</f>
        <v>-40.663839183628681</v>
      </c>
      <c r="W83" s="80">
        <v>-40.663839183628681</v>
      </c>
      <c r="X83" s="4"/>
      <c r="Y83" s="82">
        <v>20</v>
      </c>
      <c r="Z83" s="10" t="s">
        <v>145</v>
      </c>
      <c r="AA83" s="78">
        <f>_xll.HumidairTdbRHPsi(H83,I83,M83,Z83)</f>
        <v>-33.00908612253626</v>
      </c>
      <c r="AB83" s="81">
        <f t="shared" si="54"/>
        <v>3.9909138774637398</v>
      </c>
      <c r="AC83" s="80">
        <v>3.9909138774637398</v>
      </c>
      <c r="AE83" s="10" t="s">
        <v>146</v>
      </c>
      <c r="AF83" s="78">
        <f>_xll.HumidairTdbRHPsi(H83,I83,M83,AE83)</f>
        <v>-33.188591489948642</v>
      </c>
      <c r="AG83" s="81">
        <f t="shared" si="45"/>
        <v>3.8114085100513577</v>
      </c>
      <c r="AH83" s="80">
        <v>3.8114085100513577</v>
      </c>
      <c r="AJ83" s="10" t="s">
        <v>150</v>
      </c>
      <c r="AK83" s="84">
        <f>_xll.HumidairTdbRHPsi(H83,I83,M83,AJ83)</f>
        <v>0.68037540566799737</v>
      </c>
      <c r="AL83" s="58">
        <v>0.68037540566799737</v>
      </c>
      <c r="AN83" s="48">
        <f t="shared" si="46"/>
        <v>0.62436691954392687</v>
      </c>
      <c r="AO83" s="81">
        <f t="shared" si="47"/>
        <v>0.11788828750915553</v>
      </c>
      <c r="AP83" s="81">
        <f t="shared" si="25"/>
        <v>0.28797003559806533</v>
      </c>
      <c r="AR83" s="58">
        <v>0.62436691954392687</v>
      </c>
      <c r="AS83" s="80">
        <v>0.11788828750915553</v>
      </c>
      <c r="AT83" s="80">
        <v>0.28797003559806533</v>
      </c>
      <c r="AU83" s="140"/>
      <c r="AV83" s="49">
        <f t="shared" si="48"/>
        <v>1.0633080456073141E-2</v>
      </c>
      <c r="AW83" s="162">
        <f t="shared" si="49"/>
        <v>1.0633080456073141E-5</v>
      </c>
      <c r="AX83" s="10">
        <f t="shared" si="50"/>
        <v>4</v>
      </c>
      <c r="AY83" s="55">
        <f t="shared" si="51"/>
        <v>3.5429424079635702E-5</v>
      </c>
      <c r="AZ83" s="55">
        <f t="shared" si="52"/>
        <v>2.0804124532962829E-5</v>
      </c>
      <c r="BB83" s="58">
        <v>1.0633080456073141E-2</v>
      </c>
      <c r="BC83" s="167">
        <v>1.0633080456073141E-5</v>
      </c>
      <c r="BD83" s="168">
        <v>4</v>
      </c>
      <c r="BE83" s="170">
        <v>3.5429424079635702E-5</v>
      </c>
      <c r="BF83" s="171">
        <v>2.0804124532962829E-5</v>
      </c>
      <c r="BH83" s="81">
        <f t="shared" si="55"/>
        <v>411.00058640844321</v>
      </c>
      <c r="BI83" s="80">
        <v>411.00058640844321</v>
      </c>
      <c r="BK83" s="81"/>
      <c r="BL83" s="81"/>
      <c r="BM83" s="81"/>
      <c r="BN83" s="192"/>
      <c r="BO83" s="81"/>
      <c r="BP83" s="49"/>
      <c r="BQ83" s="82"/>
      <c r="BS83" s="9"/>
    </row>
    <row r="84" spans="1:71" x14ac:dyDescent="0.25">
      <c r="J84" s="36"/>
      <c r="AP84" s="23"/>
    </row>
    <row r="85" spans="1:71" x14ac:dyDescent="0.25">
      <c r="S85" s="51"/>
      <c r="AN85" s="4" t="s">
        <v>230</v>
      </c>
      <c r="AP85" s="23"/>
    </row>
    <row r="86" spans="1:71" x14ac:dyDescent="0.25">
      <c r="AH86" s="197"/>
      <c r="AK86" s="86" t="s">
        <v>154</v>
      </c>
      <c r="AN86" s="4">
        <v>418.7</v>
      </c>
      <c r="AO86" s="139" t="s">
        <v>231</v>
      </c>
      <c r="AX86" s="4" t="s">
        <v>192</v>
      </c>
      <c r="AY86" s="27" t="s">
        <v>271</v>
      </c>
      <c r="AZ86" s="86" t="s">
        <v>154</v>
      </c>
      <c r="BD86" s="70" t="s">
        <v>192</v>
      </c>
      <c r="BE86" s="70" t="s">
        <v>271</v>
      </c>
      <c r="BF86" s="83"/>
      <c r="BH86" s="27" t="s">
        <v>233</v>
      </c>
      <c r="BI86" s="70" t="s">
        <v>233</v>
      </c>
      <c r="BK86" s="86" t="s">
        <v>307</v>
      </c>
      <c r="BQ86" s="4"/>
      <c r="BS86" s="83"/>
    </row>
    <row r="87" spans="1:71" x14ac:dyDescent="0.25">
      <c r="K87" s="2"/>
      <c r="M87" s="30"/>
      <c r="N87" s="25"/>
      <c r="O87" s="25"/>
      <c r="R87" s="65" t="s">
        <v>106</v>
      </c>
      <c r="T87" s="69"/>
      <c r="Y87" t="s">
        <v>166</v>
      </c>
      <c r="AB87" s="4"/>
      <c r="AC87" s="57"/>
      <c r="AG87" s="4"/>
      <c r="AH87" s="57"/>
      <c r="AK87" s="26" t="s">
        <v>147</v>
      </c>
      <c r="AL87" s="70" t="s">
        <v>147</v>
      </c>
      <c r="AN87" s="4">
        <v>1.8426700000000001E-2</v>
      </c>
      <c r="AO87" s="139" t="s">
        <v>176</v>
      </c>
      <c r="AX87" s="4" t="s">
        <v>193</v>
      </c>
      <c r="AY87" s="16" t="s">
        <v>193</v>
      </c>
      <c r="BD87" s="72" t="s">
        <v>193</v>
      </c>
      <c r="BE87" s="72" t="s">
        <v>193</v>
      </c>
      <c r="BF87" s="83"/>
      <c r="BH87" s="16" t="s">
        <v>255</v>
      </c>
      <c r="BI87" s="72" t="s">
        <v>255</v>
      </c>
      <c r="BQ87" s="27" t="s">
        <v>306</v>
      </c>
      <c r="BS87" s="70" t="s">
        <v>306</v>
      </c>
    </row>
    <row r="88" spans="1:71" x14ac:dyDescent="0.25">
      <c r="B88" s="39" t="s">
        <v>106</v>
      </c>
      <c r="C88" s="2"/>
      <c r="G88" s="51"/>
      <c r="I88" s="52"/>
      <c r="P88" s="4" t="s">
        <v>72</v>
      </c>
      <c r="R88" s="203" t="s">
        <v>72</v>
      </c>
      <c r="T88" t="s">
        <v>140</v>
      </c>
      <c r="AA88" s="71" t="s">
        <v>134</v>
      </c>
      <c r="AB88" s="27" t="s">
        <v>300</v>
      </c>
      <c r="AC88" s="70" t="s">
        <v>300</v>
      </c>
      <c r="AF88" s="71" t="s">
        <v>134</v>
      </c>
      <c r="AG88" s="27" t="s">
        <v>314</v>
      </c>
      <c r="AH88" s="70" t="s">
        <v>314</v>
      </c>
      <c r="AK88" s="16" t="s">
        <v>82</v>
      </c>
      <c r="AL88" s="72" t="s">
        <v>82</v>
      </c>
      <c r="AN88" s="4">
        <v>1.8405999999999999E-2</v>
      </c>
      <c r="AO88" t="s">
        <v>232</v>
      </c>
      <c r="AQ88" t="s">
        <v>187</v>
      </c>
      <c r="AS88" s="176" t="s">
        <v>315</v>
      </c>
      <c r="AT88" s="87" t="s">
        <v>317</v>
      </c>
      <c r="AV88" s="163" t="s">
        <v>270</v>
      </c>
      <c r="AX88" s="4">
        <v>0.83299999999999996</v>
      </c>
      <c r="AY88" s="16" t="s">
        <v>272</v>
      </c>
      <c r="AZ88" s="27" t="s">
        <v>274</v>
      </c>
      <c r="BB88" s="70" t="s">
        <v>270</v>
      </c>
      <c r="BD88" s="72">
        <v>0.83299999999999996</v>
      </c>
      <c r="BE88" s="72" t="s">
        <v>272</v>
      </c>
      <c r="BF88" s="70" t="s">
        <v>274</v>
      </c>
      <c r="BH88" s="16" t="s">
        <v>282</v>
      </c>
      <c r="BI88" s="72" t="s">
        <v>282</v>
      </c>
      <c r="BK88" s="27" t="s">
        <v>297</v>
      </c>
      <c r="BL88" s="27" t="s">
        <v>299</v>
      </c>
      <c r="BM88" s="26" t="s">
        <v>301</v>
      </c>
      <c r="BO88" s="163" t="s">
        <v>304</v>
      </c>
      <c r="BQ88" s="16" t="s">
        <v>291</v>
      </c>
      <c r="BS88" s="72" t="s">
        <v>291</v>
      </c>
    </row>
    <row r="89" spans="1:71" x14ac:dyDescent="0.25">
      <c r="G89" s="4" t="s">
        <v>0</v>
      </c>
      <c r="K89" s="4" t="s">
        <v>1</v>
      </c>
      <c r="L89" s="4" t="s">
        <v>2</v>
      </c>
      <c r="O89" s="4" t="s">
        <v>72</v>
      </c>
      <c r="P89" s="4" t="s">
        <v>81</v>
      </c>
      <c r="Q89" s="4"/>
      <c r="R89" s="72" t="s">
        <v>81</v>
      </c>
      <c r="V89" s="26" t="s">
        <v>310</v>
      </c>
      <c r="W89" s="87" t="s">
        <v>310</v>
      </c>
      <c r="AA89" s="73" t="s">
        <v>141</v>
      </c>
      <c r="AB89" s="16" t="s">
        <v>141</v>
      </c>
      <c r="AC89" s="72" t="s">
        <v>141</v>
      </c>
      <c r="AF89" s="42" t="s">
        <v>141</v>
      </c>
      <c r="AG89" s="16" t="s">
        <v>141</v>
      </c>
      <c r="AH89" s="72" t="s">
        <v>141</v>
      </c>
      <c r="AK89" s="15" t="s">
        <v>148</v>
      </c>
      <c r="AL89" s="72" t="s">
        <v>148</v>
      </c>
      <c r="AN89" s="27" t="s">
        <v>235</v>
      </c>
      <c r="AO89" s="27" t="s">
        <v>233</v>
      </c>
      <c r="AP89" s="27" t="s">
        <v>233</v>
      </c>
      <c r="AR89" s="176" t="s">
        <v>320</v>
      </c>
      <c r="AS89" s="199" t="s">
        <v>316</v>
      </c>
      <c r="AT89" s="72" t="s">
        <v>318</v>
      </c>
      <c r="AV89" s="73" t="s">
        <v>275</v>
      </c>
      <c r="AW89" s="163" t="s">
        <v>270</v>
      </c>
      <c r="AY89" s="16" t="s">
        <v>251</v>
      </c>
      <c r="AZ89" s="16">
        <v>1.7030000000000001</v>
      </c>
      <c r="BB89" s="72" t="s">
        <v>275</v>
      </c>
      <c r="BC89" s="176" t="s">
        <v>270</v>
      </c>
      <c r="BD89" s="74"/>
      <c r="BE89" s="72" t="s">
        <v>251</v>
      </c>
      <c r="BF89" s="72">
        <v>1.7030000000000001</v>
      </c>
      <c r="BH89" s="173" t="s">
        <v>187</v>
      </c>
      <c r="BI89" s="72" t="s">
        <v>187</v>
      </c>
      <c r="BK89" s="16" t="s">
        <v>298</v>
      </c>
      <c r="BL89" s="16" t="s">
        <v>298</v>
      </c>
      <c r="BM89" s="16" t="s">
        <v>300</v>
      </c>
      <c r="BO89" s="16" t="s">
        <v>303</v>
      </c>
      <c r="BP89" s="161" t="s">
        <v>296</v>
      </c>
      <c r="BQ89" s="16" t="s">
        <v>292</v>
      </c>
      <c r="BS89" s="72" t="s">
        <v>292</v>
      </c>
    </row>
    <row r="90" spans="1:71" ht="17.25" x14ac:dyDescent="0.25">
      <c r="A90" s="5"/>
      <c r="B90" s="5"/>
      <c r="C90" t="s">
        <v>3</v>
      </c>
      <c r="D90" t="s">
        <v>4</v>
      </c>
      <c r="E90" t="s">
        <v>5</v>
      </c>
      <c r="F90" s="4" t="s">
        <v>6</v>
      </c>
      <c r="G90" s="6" t="s">
        <v>7</v>
      </c>
      <c r="H90" s="4" t="s">
        <v>98</v>
      </c>
      <c r="I90" s="4" t="s">
        <v>99</v>
      </c>
      <c r="J90" s="4" t="s">
        <v>74</v>
      </c>
      <c r="K90" s="7" t="s">
        <v>163</v>
      </c>
      <c r="L90" s="20" t="s">
        <v>8</v>
      </c>
      <c r="M90" s="4" t="s">
        <v>9</v>
      </c>
      <c r="N90" s="4" t="s">
        <v>10</v>
      </c>
      <c r="O90" s="4" t="s">
        <v>11</v>
      </c>
      <c r="P90" s="4" t="s">
        <v>82</v>
      </c>
      <c r="Q90" s="4"/>
      <c r="R90" s="77" t="s">
        <v>82</v>
      </c>
      <c r="S90" s="4"/>
      <c r="T90" s="10" t="s">
        <v>142</v>
      </c>
      <c r="U90" s="18" t="s">
        <v>10</v>
      </c>
      <c r="V90" s="13" t="s">
        <v>273</v>
      </c>
      <c r="W90" s="77" t="s">
        <v>311</v>
      </c>
      <c r="X90" s="4"/>
      <c r="Y90" s="10" t="s">
        <v>142</v>
      </c>
      <c r="Z90" s="18" t="s">
        <v>10</v>
      </c>
      <c r="AA90" s="76" t="s">
        <v>143</v>
      </c>
      <c r="AB90" s="13" t="s">
        <v>312</v>
      </c>
      <c r="AC90" s="72" t="s">
        <v>312</v>
      </c>
      <c r="AE90" s="9" t="s">
        <v>10</v>
      </c>
      <c r="AF90" s="76" t="s">
        <v>82</v>
      </c>
      <c r="AG90" s="13" t="s">
        <v>313</v>
      </c>
      <c r="AH90" s="77" t="s">
        <v>313</v>
      </c>
      <c r="AJ90" s="32" t="s">
        <v>10</v>
      </c>
      <c r="AK90" s="12" t="s">
        <v>149</v>
      </c>
      <c r="AL90" s="77" t="s">
        <v>149</v>
      </c>
      <c r="AN90" s="13" t="s">
        <v>230</v>
      </c>
      <c r="AO90" s="13" t="s">
        <v>177</v>
      </c>
      <c r="AP90" s="13" t="s">
        <v>234</v>
      </c>
      <c r="AR90" s="177" t="s">
        <v>321</v>
      </c>
      <c r="AS90" s="177" t="s">
        <v>232</v>
      </c>
      <c r="AT90" s="77" t="s">
        <v>319</v>
      </c>
      <c r="AV90" s="166" t="s">
        <v>149</v>
      </c>
      <c r="AW90" s="13" t="s">
        <v>276</v>
      </c>
      <c r="AX90" s="164" t="s">
        <v>186</v>
      </c>
      <c r="AY90" s="13" t="s">
        <v>82</v>
      </c>
      <c r="AZ90" s="13" t="s">
        <v>273</v>
      </c>
      <c r="BB90" s="77" t="s">
        <v>149</v>
      </c>
      <c r="BC90" s="177" t="s">
        <v>276</v>
      </c>
      <c r="BD90" s="77" t="s">
        <v>186</v>
      </c>
      <c r="BE90" s="77" t="s">
        <v>82</v>
      </c>
      <c r="BF90" s="77" t="s">
        <v>277</v>
      </c>
      <c r="BH90" s="13">
        <v>418</v>
      </c>
      <c r="BI90" s="77">
        <v>418</v>
      </c>
      <c r="BK90" s="13" t="s">
        <v>250</v>
      </c>
      <c r="BL90" s="13" t="s">
        <v>250</v>
      </c>
      <c r="BM90" s="13" t="s">
        <v>295</v>
      </c>
      <c r="BN90" s="18" t="s">
        <v>302</v>
      </c>
      <c r="BO90" s="13" t="s">
        <v>189</v>
      </c>
      <c r="BP90" s="76" t="s">
        <v>277</v>
      </c>
      <c r="BQ90" s="13" t="s">
        <v>305</v>
      </c>
      <c r="BS90" s="77" t="s">
        <v>305</v>
      </c>
    </row>
    <row r="91" spans="1:71" x14ac:dyDescent="0.25">
      <c r="A91">
        <v>1</v>
      </c>
      <c r="C91" s="9" t="s">
        <v>12</v>
      </c>
      <c r="D91" s="10" t="s">
        <v>13</v>
      </c>
      <c r="E91" s="32" t="s">
        <v>14</v>
      </c>
      <c r="F91" s="33">
        <v>44368</v>
      </c>
      <c r="G91" s="29">
        <v>0.92708333333333337</v>
      </c>
      <c r="H91" s="28">
        <v>5</v>
      </c>
      <c r="I91" s="28">
        <v>70</v>
      </c>
      <c r="J91" s="28" t="s">
        <v>85</v>
      </c>
      <c r="K91" s="10">
        <v>32</v>
      </c>
      <c r="L91" s="47">
        <f>+((101325*(1-(2.25577*10^-5)*(K91))^5.25588))</f>
        <v>100941.16925190832</v>
      </c>
      <c r="M91" s="10">
        <f t="shared" ref="M91:M110" si="64">+L91/100000</f>
        <v>1.0094116925190832</v>
      </c>
      <c r="N91" s="10" t="s">
        <v>15</v>
      </c>
      <c r="O91" s="10">
        <f>_xll.HumidairTdbRHPsi(H91,I91,M91,N91)</f>
        <v>3.801089138360427E-3</v>
      </c>
      <c r="P91" s="48">
        <f t="shared" ref="P91:P110" si="65">+O91*1000</f>
        <v>3.8010891383604268</v>
      </c>
      <c r="Q91" s="31"/>
      <c r="R91" s="58">
        <v>3.8010891383604268</v>
      </c>
      <c r="S91" s="4"/>
      <c r="T91" s="10">
        <v>1</v>
      </c>
      <c r="U91" s="10" t="s">
        <v>144</v>
      </c>
      <c r="V91" s="78">
        <f>_xll.HumidairTdbRHPsi(H91, I91,M91,U91)</f>
        <v>-9.4440138739741997E-3</v>
      </c>
      <c r="W91" s="79">
        <v>-9.4440138739741997E-3</v>
      </c>
      <c r="X91" s="4"/>
      <c r="Y91" s="10">
        <v>1</v>
      </c>
      <c r="Z91" s="10" t="s">
        <v>145</v>
      </c>
      <c r="AA91" s="78">
        <f>_xll.HumidairTdbRHPsi(H91,I91,M91,Z91)</f>
        <v>14.56813870733316</v>
      </c>
      <c r="AB91" s="78">
        <f>+AA91+37</f>
        <v>51.568138707333162</v>
      </c>
      <c r="AC91" s="80">
        <v>51.568138707333162</v>
      </c>
      <c r="AE91" s="10" t="s">
        <v>146</v>
      </c>
      <c r="AF91" s="78">
        <f>_xll.HumidairTdbRHPsi(H91,I91,M91,AE91)</f>
        <v>5.0303781299918695</v>
      </c>
      <c r="AG91" s="78">
        <f>+AF91+37</f>
        <v>42.030378129991867</v>
      </c>
      <c r="AH91" s="80">
        <v>42.030378129991867</v>
      </c>
      <c r="AJ91" s="10" t="s">
        <v>150</v>
      </c>
      <c r="AK91" s="84">
        <f>_xll.HumidairTdbRHPsi(H91,I91,M91,AJ91)</f>
        <v>0.79058865605746398</v>
      </c>
      <c r="AL91" s="58">
        <v>0.79058865605746398</v>
      </c>
      <c r="AN91" s="48">
        <f t="shared" ref="AN91:AN110" si="66">+$AN$6*($AL$57/AL91)</f>
        <v>0.53732607078983974</v>
      </c>
      <c r="AO91" s="81">
        <f>+R91/AN91</f>
        <v>7.0740828427941995</v>
      </c>
      <c r="AP91" s="81">
        <f t="shared" ref="AP91:AP110" si="67">+AO91*(44.0059/18.015)</f>
        <v>17.280121130819719</v>
      </c>
      <c r="AR91" s="58">
        <v>0.53732607078983974</v>
      </c>
      <c r="AS91" s="80">
        <v>7.0740828427941995</v>
      </c>
      <c r="AT91" s="80">
        <v>17.280121130819719</v>
      </c>
      <c r="AU91" s="140"/>
      <c r="AV91" s="84">
        <f t="shared" ref="AV91:AV110" si="68">+$AN$57-AN91</f>
        <v>9.7673929210160271E-2</v>
      </c>
      <c r="AW91" s="165">
        <f t="shared" ref="AW91:AW110" si="69">+AV91/1000</f>
        <v>9.7673929210160271E-5</v>
      </c>
      <c r="AX91" s="10">
        <f t="shared" ref="AX91:AX110" si="70">37+H91</f>
        <v>42</v>
      </c>
      <c r="AY91" s="55">
        <f t="shared" ref="AY91:AY110" si="71">+AW91*AX91*$AX$9</f>
        <v>3.4172200873466671E-3</v>
      </c>
      <c r="AZ91" s="55">
        <f t="shared" ref="AZ91:AZ110" si="72">+AY91/1.703</f>
        <v>2.0065884247484835E-3</v>
      </c>
      <c r="BB91" s="58">
        <v>9.7673929210160271E-2</v>
      </c>
      <c r="BC91" s="167">
        <v>9.7673929210160271E-5</v>
      </c>
      <c r="BD91" s="168">
        <v>42</v>
      </c>
      <c r="BE91" s="168">
        <v>3.4172200873466671E-3</v>
      </c>
      <c r="BF91" s="169">
        <v>2.0065884247484835E-3</v>
      </c>
      <c r="BH91" s="81">
        <f>418*($AL$57/AL91)</f>
        <v>353.70440565378425</v>
      </c>
      <c r="BI91" s="80">
        <v>353.70440565378425</v>
      </c>
      <c r="BK91" s="81">
        <f>+AB91</f>
        <v>51.568138707333162</v>
      </c>
      <c r="BL91" s="81">
        <f>+AG91</f>
        <v>42.030378129991867</v>
      </c>
      <c r="BM91" s="81">
        <f>+BK91-BL91</f>
        <v>9.5377605773412952</v>
      </c>
      <c r="BN91" s="192">
        <f>+BM91/BK91</f>
        <v>0.18495452456547543</v>
      </c>
      <c r="BO91" s="81">
        <f>+H91-$H$57</f>
        <v>42</v>
      </c>
      <c r="BP91" s="49">
        <f>+BN91*BO91</f>
        <v>7.7680900317499679</v>
      </c>
      <c r="BQ91" s="82">
        <f>+BP91/AZ91</f>
        <v>3871.2921573459498</v>
      </c>
      <c r="BS91" s="193">
        <v>3871.2921573459498</v>
      </c>
    </row>
    <row r="92" spans="1:71" x14ac:dyDescent="0.25">
      <c r="A92">
        <v>2</v>
      </c>
      <c r="B92" s="1" t="s">
        <v>16</v>
      </c>
      <c r="C92" s="12" t="s">
        <v>17</v>
      </c>
      <c r="D92" s="13" t="s">
        <v>18</v>
      </c>
      <c r="E92" s="11" t="s">
        <v>19</v>
      </c>
      <c r="F92" s="33">
        <v>44369</v>
      </c>
      <c r="G92" s="29">
        <v>0.4680555555555555</v>
      </c>
      <c r="H92" s="28">
        <v>7</v>
      </c>
      <c r="I92" s="28">
        <v>88</v>
      </c>
      <c r="J92" s="28" t="s">
        <v>100</v>
      </c>
      <c r="K92" s="10">
        <v>41</v>
      </c>
      <c r="L92" s="47">
        <f t="shared" ref="L92:L100" si="73">+((101325*(1-(2.25577*10^-5)*(K92))^5.25588))</f>
        <v>100833.42925724134</v>
      </c>
      <c r="M92" s="10">
        <f t="shared" si="64"/>
        <v>1.0083342925724135</v>
      </c>
      <c r="N92" s="10" t="s">
        <v>15</v>
      </c>
      <c r="O92" s="10">
        <f>_xll.HumidairTdbRHPsi(H92,I92,M92,N92)</f>
        <v>5.5084619460573775E-3</v>
      </c>
      <c r="P92" s="48">
        <f t="shared" si="65"/>
        <v>5.5084619460573778</v>
      </c>
      <c r="Q92" s="31"/>
      <c r="R92" s="58">
        <v>5.5084619460573778</v>
      </c>
      <c r="S92" s="4"/>
      <c r="T92" s="10">
        <v>2</v>
      </c>
      <c r="U92" s="10" t="s">
        <v>144</v>
      </c>
      <c r="V92" s="78">
        <f>_xll.HumidairTdbRHPsi(H92, I92,M92,U92)</f>
        <v>5.1511311131592379</v>
      </c>
      <c r="W92" s="79">
        <v>5.1511311131592379</v>
      </c>
      <c r="X92" s="4"/>
      <c r="Y92" s="10">
        <v>2</v>
      </c>
      <c r="Z92" s="10" t="s">
        <v>145</v>
      </c>
      <c r="AA92" s="78">
        <f>_xll.HumidairTdbRHPsi(H92,I92,M92,Z92)</f>
        <v>20.884229910174955</v>
      </c>
      <c r="AB92" s="81">
        <f t="shared" ref="AB92:AB110" si="74">+AA92+37</f>
        <v>57.884229910174952</v>
      </c>
      <c r="AC92" s="80">
        <v>57.884229910174952</v>
      </c>
      <c r="AE92" s="10" t="s">
        <v>146</v>
      </c>
      <c r="AF92" s="78">
        <f>_xll.HumidairTdbRHPsi(H92,I92,M92,AE92)</f>
        <v>7.0425120007965791</v>
      </c>
      <c r="AG92" s="81">
        <f t="shared" ref="AG92:AG110" si="75">+AF92+37</f>
        <v>44.042512000796577</v>
      </c>
      <c r="AH92" s="80">
        <v>44.042512000796577</v>
      </c>
      <c r="AJ92" s="10" t="s">
        <v>150</v>
      </c>
      <c r="AK92" s="84">
        <f>_xll.HumidairTdbRHPsi(H92,I92,M92,AJ92)</f>
        <v>0.79714358858181766</v>
      </c>
      <c r="AL92" s="58">
        <v>0.79714358858181766</v>
      </c>
      <c r="AN92" s="48">
        <f t="shared" si="66"/>
        <v>0.53290762449226659</v>
      </c>
      <c r="AO92" s="81">
        <f t="shared" ref="AO92:AO110" si="76">+R92/AN92</f>
        <v>10.336616878592464</v>
      </c>
      <c r="AP92" s="81">
        <f t="shared" si="67"/>
        <v>25.249632456156093</v>
      </c>
      <c r="AR92" s="58">
        <v>0.53290762449226659</v>
      </c>
      <c r="AS92" s="80">
        <v>10.336616878592464</v>
      </c>
      <c r="AT92" s="80">
        <v>25.249632456156093</v>
      </c>
      <c r="AU92" s="140"/>
      <c r="AV92" s="49">
        <f t="shared" si="68"/>
        <v>0.10209237550773342</v>
      </c>
      <c r="AW92" s="162">
        <f t="shared" si="69"/>
        <v>1.0209237550773343E-4</v>
      </c>
      <c r="AX92" s="10">
        <f t="shared" si="70"/>
        <v>44</v>
      </c>
      <c r="AY92" s="55">
        <f t="shared" si="71"/>
        <v>3.741889747109445E-3</v>
      </c>
      <c r="AZ92" s="55">
        <f t="shared" si="72"/>
        <v>2.1972341439280359E-3</v>
      </c>
      <c r="BB92" s="58">
        <v>0.10209237550773342</v>
      </c>
      <c r="BC92" s="167">
        <v>1.0209237550773343E-4</v>
      </c>
      <c r="BD92" s="168">
        <v>44</v>
      </c>
      <c r="BE92" s="170">
        <v>3.741889747109445E-3</v>
      </c>
      <c r="BF92" s="169">
        <v>2.1972341439280359E-3</v>
      </c>
      <c r="BH92" s="81">
        <f t="shared" ref="BH92:BH110" si="77">418*($AL$57/AL92)</f>
        <v>350.79588509884633</v>
      </c>
      <c r="BI92" s="80">
        <v>350.79588509884633</v>
      </c>
      <c r="BK92" s="81">
        <f t="shared" ref="BK92:BK109" si="78">+AB92</f>
        <v>57.884229910174952</v>
      </c>
      <c r="BL92" s="81">
        <f t="shared" ref="BL92:BL109" si="79">+AG92</f>
        <v>44.042512000796577</v>
      </c>
      <c r="BM92" s="81">
        <f t="shared" ref="BM92:BM109" si="80">+BK92-BL92</f>
        <v>13.841717909378374</v>
      </c>
      <c r="BN92" s="192">
        <f t="shared" ref="BN92:BN109" si="81">+BM92/BK92</f>
        <v>0.2391276161202805</v>
      </c>
      <c r="BO92" s="81">
        <f t="shared" ref="BO92:BO109" si="82">+H92-$H$57</f>
        <v>44</v>
      </c>
      <c r="BP92" s="49">
        <f t="shared" ref="BP92:BP109" si="83">+BN92*BO92</f>
        <v>10.521615109292341</v>
      </c>
      <c r="BQ92" s="82">
        <f t="shared" ref="BQ92:BQ109" si="84">+BP92/AZ92</f>
        <v>4788.5725507990956</v>
      </c>
      <c r="BS92" s="193">
        <v>4788.5725507990956</v>
      </c>
    </row>
    <row r="93" spans="1:71" x14ac:dyDescent="0.25">
      <c r="A93">
        <v>3</v>
      </c>
      <c r="C93" s="12" t="s">
        <v>20</v>
      </c>
      <c r="D93" s="10" t="s">
        <v>21</v>
      </c>
      <c r="E93" s="11" t="s">
        <v>22</v>
      </c>
      <c r="F93" s="33">
        <v>44369</v>
      </c>
      <c r="G93" s="29">
        <v>0.16666666666666666</v>
      </c>
      <c r="H93" s="28">
        <v>12</v>
      </c>
      <c r="I93" s="28">
        <v>100</v>
      </c>
      <c r="J93" s="28" t="s">
        <v>107</v>
      </c>
      <c r="K93" s="10">
        <v>15</v>
      </c>
      <c r="L93" s="47">
        <f t="shared" si="73"/>
        <v>101144.93246061618</v>
      </c>
      <c r="M93" s="10">
        <f t="shared" si="64"/>
        <v>1.0114493246061618</v>
      </c>
      <c r="N93" s="10" t="s">
        <v>15</v>
      </c>
      <c r="O93" s="10">
        <f>_xll.HumidairTdbRHPsi(H93,I93,M93,N93)</f>
        <v>8.7814180762871216E-3</v>
      </c>
      <c r="P93" s="48">
        <f t="shared" si="65"/>
        <v>8.781418076287121</v>
      </c>
      <c r="Q93" s="31"/>
      <c r="R93" s="58">
        <v>8.781418076287121</v>
      </c>
      <c r="S93" s="4"/>
      <c r="T93" s="10">
        <v>3</v>
      </c>
      <c r="U93" s="10" t="s">
        <v>144</v>
      </c>
      <c r="V93" s="78">
        <f>_xll.HumidairTdbRHPsi(H93, I93,M93,U93)</f>
        <v>12</v>
      </c>
      <c r="W93" s="79">
        <v>12</v>
      </c>
      <c r="X93" s="4"/>
      <c r="Y93" s="10">
        <v>3</v>
      </c>
      <c r="Z93" s="10" t="s">
        <v>145</v>
      </c>
      <c r="AA93" s="78">
        <f>_xll.HumidairTdbRHPsi(H93,I93,M93,Z93)</f>
        <v>34.217750495232266</v>
      </c>
      <c r="AB93" s="81">
        <f t="shared" si="74"/>
        <v>71.217750495232266</v>
      </c>
      <c r="AC93" s="80">
        <v>71.217750495232266</v>
      </c>
      <c r="AE93" s="10" t="s">
        <v>146</v>
      </c>
      <c r="AF93" s="78">
        <f>_xll.HumidairTdbRHPsi(H93,I93,M93,AE93)</f>
        <v>12.071703243296266</v>
      </c>
      <c r="AG93" s="81">
        <f t="shared" si="75"/>
        <v>49.07170324329627</v>
      </c>
      <c r="AH93" s="80">
        <v>49.07170324329627</v>
      </c>
      <c r="AJ93" s="10" t="s">
        <v>150</v>
      </c>
      <c r="AK93" s="84">
        <f>_xll.HumidairTdbRHPsi(H93,I93,M93,AJ93)</f>
        <v>0.80891670776528657</v>
      </c>
      <c r="AL93" s="58">
        <v>0.80891670776528657</v>
      </c>
      <c r="AN93" s="48">
        <f t="shared" si="66"/>
        <v>0.52515159112480247</v>
      </c>
      <c r="AO93" s="81">
        <f t="shared" si="76"/>
        <v>16.721682319344271</v>
      </c>
      <c r="AP93" s="81">
        <f t="shared" si="67"/>
        <v>40.846665555194669</v>
      </c>
      <c r="AR93" s="58">
        <v>0.52515159112480247</v>
      </c>
      <c r="AS93" s="80">
        <v>16.721682319344271</v>
      </c>
      <c r="AT93" s="80">
        <v>40.846665555194669</v>
      </c>
      <c r="AU93" s="140"/>
      <c r="AV93" s="49">
        <f t="shared" si="68"/>
        <v>0.10984840887519753</v>
      </c>
      <c r="AW93" s="162">
        <f t="shared" si="69"/>
        <v>1.0984840887519753E-4</v>
      </c>
      <c r="AX93" s="10">
        <f t="shared" si="70"/>
        <v>49</v>
      </c>
      <c r="AY93" s="55">
        <f t="shared" si="71"/>
        <v>4.4836825050589375E-3</v>
      </c>
      <c r="AZ93" s="55">
        <f t="shared" si="72"/>
        <v>2.6328141544679608E-3</v>
      </c>
      <c r="BB93" s="58">
        <v>0.10984840887519753</v>
      </c>
      <c r="BC93" s="167">
        <v>1.0984840887519753E-4</v>
      </c>
      <c r="BD93" s="168">
        <v>49</v>
      </c>
      <c r="BE93" s="170">
        <v>4.4836825050589375E-3</v>
      </c>
      <c r="BF93" s="171">
        <v>2.6328141544679608E-3</v>
      </c>
      <c r="BH93" s="81">
        <f t="shared" si="77"/>
        <v>345.69033872467315</v>
      </c>
      <c r="BI93" s="80">
        <v>345.69033872467315</v>
      </c>
      <c r="BK93" s="81">
        <f t="shared" si="78"/>
        <v>71.217750495232266</v>
      </c>
      <c r="BL93" s="81">
        <f t="shared" si="79"/>
        <v>49.07170324329627</v>
      </c>
      <c r="BM93" s="81">
        <f t="shared" si="80"/>
        <v>22.146047251935997</v>
      </c>
      <c r="BN93" s="192">
        <f t="shared" si="81"/>
        <v>0.31096246508682668</v>
      </c>
      <c r="BO93" s="81">
        <f t="shared" si="82"/>
        <v>49</v>
      </c>
      <c r="BP93" s="49">
        <f t="shared" si="83"/>
        <v>15.237160789254506</v>
      </c>
      <c r="BQ93" s="82">
        <f t="shared" si="84"/>
        <v>5787.4046154745138</v>
      </c>
      <c r="BS93" s="193">
        <v>5787.4046154745138</v>
      </c>
    </row>
    <row r="94" spans="1:71" x14ac:dyDescent="0.25">
      <c r="A94" s="5">
        <v>4</v>
      </c>
      <c r="B94" s="14"/>
      <c r="C94" s="12" t="s">
        <v>23</v>
      </c>
      <c r="D94" s="10" t="s">
        <v>24</v>
      </c>
      <c r="E94" s="11" t="s">
        <v>25</v>
      </c>
      <c r="F94" s="33">
        <v>44368</v>
      </c>
      <c r="G94" s="29">
        <v>0.84236111111111101</v>
      </c>
      <c r="H94" s="28">
        <v>12</v>
      </c>
      <c r="I94" s="28">
        <v>57</v>
      </c>
      <c r="J94" s="28" t="s">
        <v>86</v>
      </c>
      <c r="K94" s="10">
        <v>26</v>
      </c>
      <c r="L94" s="47">
        <f t="shared" si="73"/>
        <v>101013.04768769341</v>
      </c>
      <c r="M94" s="10">
        <f t="shared" si="64"/>
        <v>1.0101304768769341</v>
      </c>
      <c r="N94" s="10" t="s">
        <v>15</v>
      </c>
      <c r="O94" s="10">
        <f>_xll.HumidairTdbRHPsi(H94,I94,M94,N94)</f>
        <v>4.9817312330688503E-3</v>
      </c>
      <c r="P94" s="48">
        <f t="shared" si="65"/>
        <v>4.9817312330688504</v>
      </c>
      <c r="Q94" s="31"/>
      <c r="R94" s="58">
        <v>4.9817312330688504</v>
      </c>
      <c r="S94" s="4"/>
      <c r="T94" s="10">
        <v>4</v>
      </c>
      <c r="U94" s="10" t="s">
        <v>144</v>
      </c>
      <c r="V94" s="78">
        <f>_xll.HumidairTdbRHPsi(H94, I94,M94,U94)</f>
        <v>3.7536785054836059</v>
      </c>
      <c r="W94" s="79">
        <v>3.7536785054836059</v>
      </c>
      <c r="X94" s="4"/>
      <c r="Y94" s="10">
        <v>4</v>
      </c>
      <c r="Z94" s="10" t="s">
        <v>145</v>
      </c>
      <c r="AA94" s="78">
        <f>_xll.HumidairTdbRHPsi(H94,I94,M94,Z94)</f>
        <v>24.637130348084632</v>
      </c>
      <c r="AB94" s="81">
        <f t="shared" si="74"/>
        <v>61.637130348084632</v>
      </c>
      <c r="AC94" s="80">
        <v>61.637130348084632</v>
      </c>
      <c r="AE94" s="10" t="s">
        <v>146</v>
      </c>
      <c r="AF94" s="78">
        <f>_xll.HumidairTdbRHPsi(H94,I94,M94,AE94)</f>
        <v>12.072037633606442</v>
      </c>
      <c r="AG94" s="81">
        <f t="shared" si="75"/>
        <v>49.072037633606442</v>
      </c>
      <c r="AH94" s="80">
        <v>49.072037633606442</v>
      </c>
      <c r="AJ94" s="10" t="s">
        <v>150</v>
      </c>
      <c r="AK94" s="84">
        <f>_xll.HumidairTdbRHPsi(H94,I94,M94,AJ94)</f>
        <v>0.80997330829259229</v>
      </c>
      <c r="AL94" s="58">
        <v>0.80997330829259229</v>
      </c>
      <c r="AN94" s="48">
        <f t="shared" si="66"/>
        <v>0.52446653713300173</v>
      </c>
      <c r="AO94" s="81">
        <f t="shared" si="76"/>
        <v>9.4986636522160257</v>
      </c>
      <c r="AP94" s="81">
        <f t="shared" si="67"/>
        <v>23.20273343397464</v>
      </c>
      <c r="AR94" s="58">
        <v>0.52446653713300173</v>
      </c>
      <c r="AS94" s="80">
        <v>9.4986636522160257</v>
      </c>
      <c r="AT94" s="80">
        <v>23.20273343397464</v>
      </c>
      <c r="AU94" s="140"/>
      <c r="AV94" s="49">
        <f t="shared" si="68"/>
        <v>0.11053346286699828</v>
      </c>
      <c r="AW94" s="162">
        <f t="shared" si="69"/>
        <v>1.1053346286699828E-4</v>
      </c>
      <c r="AX94" s="10">
        <f t="shared" si="70"/>
        <v>49</v>
      </c>
      <c r="AY94" s="55">
        <f t="shared" si="71"/>
        <v>4.5116443538422684E-3</v>
      </c>
      <c r="AZ94" s="55">
        <f t="shared" si="72"/>
        <v>2.6492333258028586E-3</v>
      </c>
      <c r="BB94" s="58">
        <v>0.11053346286699828</v>
      </c>
      <c r="BC94" s="167">
        <v>1.1053346286699828E-4</v>
      </c>
      <c r="BD94" s="168">
        <v>49</v>
      </c>
      <c r="BE94" s="170">
        <v>4.5116443538422684E-3</v>
      </c>
      <c r="BF94" s="171">
        <v>2.6492333258028586E-3</v>
      </c>
      <c r="BH94" s="81">
        <f t="shared" si="77"/>
        <v>345.23938979778694</v>
      </c>
      <c r="BI94" s="80">
        <v>345.23938979778694</v>
      </c>
      <c r="BK94" s="81">
        <f t="shared" si="78"/>
        <v>61.637130348084632</v>
      </c>
      <c r="BL94" s="81">
        <f t="shared" si="79"/>
        <v>49.072037633606442</v>
      </c>
      <c r="BM94" s="81">
        <f t="shared" si="80"/>
        <v>12.56509271447819</v>
      </c>
      <c r="BN94" s="192">
        <f t="shared" si="81"/>
        <v>0.20385590055083819</v>
      </c>
      <c r="BO94" s="81">
        <f t="shared" si="82"/>
        <v>49</v>
      </c>
      <c r="BP94" s="49">
        <f t="shared" si="83"/>
        <v>9.9889391269910703</v>
      </c>
      <c r="BQ94" s="82">
        <f t="shared" si="84"/>
        <v>3770.5018390420141</v>
      </c>
      <c r="BS94" s="193">
        <v>3770.5018390420141</v>
      </c>
    </row>
    <row r="95" spans="1:71" x14ac:dyDescent="0.25">
      <c r="A95">
        <v>5</v>
      </c>
      <c r="C95" s="9" t="s">
        <v>26</v>
      </c>
      <c r="D95" s="10" t="s">
        <v>27</v>
      </c>
      <c r="E95" s="11" t="s">
        <v>28</v>
      </c>
      <c r="F95" s="33">
        <v>44368</v>
      </c>
      <c r="G95" s="29">
        <v>0.41597222222222219</v>
      </c>
      <c r="H95" s="28">
        <v>21</v>
      </c>
      <c r="I95" s="28">
        <v>31</v>
      </c>
      <c r="J95" s="28" t="s">
        <v>85</v>
      </c>
      <c r="K95" s="10">
        <v>356</v>
      </c>
      <c r="L95" s="47">
        <f t="shared" si="73"/>
        <v>97120.766933102874</v>
      </c>
      <c r="M95" s="10">
        <f t="shared" si="64"/>
        <v>0.97120766933102876</v>
      </c>
      <c r="N95" s="10" t="s">
        <v>15</v>
      </c>
      <c r="O95" s="10">
        <f>_xll.HumidairTdbRHPsi(H95,I95,M95,N95)</f>
        <v>4.9982364630077646E-3</v>
      </c>
      <c r="P95" s="48">
        <f t="shared" si="65"/>
        <v>4.9982364630077649</v>
      </c>
      <c r="Q95" s="31"/>
      <c r="R95" s="58">
        <v>4.9982364630077649</v>
      </c>
      <c r="S95" s="4"/>
      <c r="T95" s="10">
        <v>5</v>
      </c>
      <c r="U95" s="10" t="s">
        <v>144</v>
      </c>
      <c r="V95" s="78">
        <f>_xll.HumidairTdbRHPsi(H95, I95,M95,U95)</f>
        <v>3.2453754071016192</v>
      </c>
      <c r="W95" s="79">
        <v>3.2453754071016192</v>
      </c>
      <c r="X95" s="4"/>
      <c r="Y95" s="10">
        <v>5</v>
      </c>
      <c r="Z95" s="10" t="s">
        <v>145</v>
      </c>
      <c r="AA95" s="78">
        <f>_xll.HumidairTdbRHPsi(H95,I95,M95,Z95)</f>
        <v>33.828145233575029</v>
      </c>
      <c r="AB95" s="81">
        <f t="shared" si="74"/>
        <v>70.828145233575029</v>
      </c>
      <c r="AC95" s="80">
        <v>70.828145233575029</v>
      </c>
      <c r="AE95" s="10" t="s">
        <v>146</v>
      </c>
      <c r="AF95" s="78">
        <f>_xll.HumidairTdbRHPsi(H95,I95,M95,AE95)</f>
        <v>21.136850503451964</v>
      </c>
      <c r="AG95" s="81">
        <f t="shared" si="75"/>
        <v>58.136850503451967</v>
      </c>
      <c r="AH95" s="80">
        <v>58.136850503451967</v>
      </c>
      <c r="AJ95" s="10" t="s">
        <v>150</v>
      </c>
      <c r="AK95" s="84">
        <f>_xll.HumidairTdbRHPsi(H95,I95,M95,AJ95)</f>
        <v>0.86911565693307891</v>
      </c>
      <c r="AL95" s="58">
        <v>0.86911565693307891</v>
      </c>
      <c r="AN95" s="48">
        <f t="shared" si="66"/>
        <v>0.48877717572068391</v>
      </c>
      <c r="AO95" s="81">
        <f t="shared" si="76"/>
        <v>10.226002177041204</v>
      </c>
      <c r="AP95" s="81">
        <f t="shared" si="67"/>
        <v>24.979429875251594</v>
      </c>
      <c r="AR95" s="58">
        <v>0.48877717572068391</v>
      </c>
      <c r="AS95" s="80">
        <v>10.226002177041204</v>
      </c>
      <c r="AT95" s="160">
        <v>24.979429875251594</v>
      </c>
      <c r="AU95" s="140"/>
      <c r="AV95" s="49">
        <f t="shared" si="68"/>
        <v>0.1462228242793161</v>
      </c>
      <c r="AW95" s="162">
        <f t="shared" si="69"/>
        <v>1.4622282427931611E-4</v>
      </c>
      <c r="AX95" s="10">
        <f t="shared" si="70"/>
        <v>58</v>
      </c>
      <c r="AY95" s="55">
        <f t="shared" si="71"/>
        <v>7.0646095322308786E-3</v>
      </c>
      <c r="AZ95" s="55">
        <f t="shared" si="72"/>
        <v>4.148332079994644E-3</v>
      </c>
      <c r="BB95" s="58">
        <v>0.1462228242793161</v>
      </c>
      <c r="BC95" s="167">
        <v>1.4622282427931611E-4</v>
      </c>
      <c r="BD95" s="168">
        <v>58</v>
      </c>
      <c r="BE95" s="170">
        <v>7.0646095322308786E-3</v>
      </c>
      <c r="BF95" s="171">
        <v>4.148332079994644E-3</v>
      </c>
      <c r="BH95" s="81">
        <f t="shared" si="77"/>
        <v>321.74623535629269</v>
      </c>
      <c r="BI95" s="80">
        <v>321.74623535629269</v>
      </c>
      <c r="BK95" s="81">
        <f t="shared" si="78"/>
        <v>70.828145233575029</v>
      </c>
      <c r="BL95" s="81">
        <f t="shared" si="79"/>
        <v>58.136850503451967</v>
      </c>
      <c r="BM95" s="81">
        <f t="shared" si="80"/>
        <v>12.691294730123062</v>
      </c>
      <c r="BN95" s="192">
        <f t="shared" si="81"/>
        <v>0.17918434385469326</v>
      </c>
      <c r="BO95" s="81">
        <f t="shared" si="82"/>
        <v>58</v>
      </c>
      <c r="BP95" s="49">
        <f t="shared" si="83"/>
        <v>10.392691943572208</v>
      </c>
      <c r="BQ95" s="82">
        <f t="shared" si="84"/>
        <v>2505.2700080813265</v>
      </c>
      <c r="BS95" s="193">
        <v>2505.2700080813265</v>
      </c>
    </row>
    <row r="96" spans="1:71" x14ac:dyDescent="0.25">
      <c r="A96">
        <v>6</v>
      </c>
      <c r="C96" s="9" t="s">
        <v>29</v>
      </c>
      <c r="D96" s="10" t="s">
        <v>30</v>
      </c>
      <c r="E96" s="11" t="s">
        <v>31</v>
      </c>
      <c r="F96" s="33">
        <v>44368</v>
      </c>
      <c r="G96" s="34">
        <v>0.79305555555555562</v>
      </c>
      <c r="H96" s="28">
        <v>33</v>
      </c>
      <c r="I96" s="28">
        <v>35</v>
      </c>
      <c r="J96" s="28" t="s">
        <v>75</v>
      </c>
      <c r="K96" s="10">
        <v>2</v>
      </c>
      <c r="L96" s="47">
        <f t="shared" si="73"/>
        <v>101300.97600813</v>
      </c>
      <c r="M96" s="10">
        <f t="shared" si="64"/>
        <v>1.0130097600812999</v>
      </c>
      <c r="N96" s="10" t="s">
        <v>15</v>
      </c>
      <c r="O96" s="10">
        <f>_xll.HumidairTdbRHPsi(H96,I96,M96,N96)</f>
        <v>1.1060290282975945E-2</v>
      </c>
      <c r="P96" s="48">
        <f t="shared" si="65"/>
        <v>11.060290282975945</v>
      </c>
      <c r="Q96" s="31"/>
      <c r="R96" s="58">
        <v>11.060290282975945</v>
      </c>
      <c r="S96" s="4"/>
      <c r="T96" s="10">
        <v>6</v>
      </c>
      <c r="U96" s="10" t="s">
        <v>144</v>
      </c>
      <c r="V96" s="78">
        <f>_xll.HumidairTdbRHPsi(H96, I96,M96,U96)</f>
        <v>15.515098334220511</v>
      </c>
      <c r="W96" s="79">
        <v>15.515098334220511</v>
      </c>
      <c r="X96" s="4"/>
      <c r="Y96" s="10">
        <v>6</v>
      </c>
      <c r="Z96" s="10" t="s">
        <v>145</v>
      </c>
      <c r="AA96" s="78">
        <f>_xll.HumidairTdbRHPsi(H96,I96,M96,Z96)</f>
        <v>61.533669580304142</v>
      </c>
      <c r="AB96" s="81">
        <f t="shared" si="74"/>
        <v>98.533669580304149</v>
      </c>
      <c r="AC96" s="80">
        <v>98.533669580304149</v>
      </c>
      <c r="AE96" s="10" t="s">
        <v>146</v>
      </c>
      <c r="AF96" s="78">
        <f>_xll.HumidairTdbRHPsi(H96,I96,M96,AE96)</f>
        <v>33.205108113639376</v>
      </c>
      <c r="AG96" s="81">
        <f t="shared" si="75"/>
        <v>70.205108113639369</v>
      </c>
      <c r="AH96" s="80">
        <v>70.205108113639369</v>
      </c>
      <c r="AJ96" s="10" t="s">
        <v>150</v>
      </c>
      <c r="AK96" s="84">
        <f>_xll.HumidairTdbRHPsi(H96,I96,M96,AJ96)</f>
        <v>0.86732472186921195</v>
      </c>
      <c r="AL96" s="58">
        <v>0.86732472186921195</v>
      </c>
      <c r="AN96" s="48">
        <f t="shared" si="66"/>
        <v>0.48978644959509793</v>
      </c>
      <c r="AO96" s="81">
        <f t="shared" si="76"/>
        <v>22.581862548707477</v>
      </c>
      <c r="AP96" s="81">
        <f t="shared" si="67"/>
        <v>55.16154233317603</v>
      </c>
      <c r="AR96" s="58">
        <v>0.48978644959509793</v>
      </c>
      <c r="AS96" s="80">
        <v>22.581862548707477</v>
      </c>
      <c r="AT96" s="160">
        <v>55.16154233317603</v>
      </c>
      <c r="AU96" s="140"/>
      <c r="AV96" s="49">
        <f t="shared" si="68"/>
        <v>0.14521355040490208</v>
      </c>
      <c r="AW96" s="162">
        <f t="shared" si="69"/>
        <v>1.4521355040490207E-4</v>
      </c>
      <c r="AX96" s="10">
        <f t="shared" si="70"/>
        <v>70</v>
      </c>
      <c r="AY96" s="55">
        <f t="shared" si="71"/>
        <v>8.4674021241098393E-3</v>
      </c>
      <c r="AZ96" s="55">
        <f t="shared" si="72"/>
        <v>4.9720505719963821E-3</v>
      </c>
      <c r="BB96" s="58">
        <v>0.14521355040490208</v>
      </c>
      <c r="BC96" s="167">
        <v>1.4521355040490207E-4</v>
      </c>
      <c r="BD96" s="168">
        <v>70</v>
      </c>
      <c r="BE96" s="170">
        <v>8.4674021241098393E-3</v>
      </c>
      <c r="BF96" s="171">
        <v>4.9720505719963821E-3</v>
      </c>
      <c r="BH96" s="81">
        <f t="shared" si="77"/>
        <v>322.41060776496209</v>
      </c>
      <c r="BI96" s="80">
        <v>322.41060776496209</v>
      </c>
      <c r="BK96" s="81">
        <f t="shared" si="78"/>
        <v>98.533669580304149</v>
      </c>
      <c r="BL96" s="81">
        <f t="shared" si="79"/>
        <v>70.205108113639369</v>
      </c>
      <c r="BM96" s="81">
        <f t="shared" si="80"/>
        <v>28.32856146666478</v>
      </c>
      <c r="BN96" s="192">
        <f t="shared" si="81"/>
        <v>0.28750133418686119</v>
      </c>
      <c r="BO96" s="81">
        <f t="shared" si="82"/>
        <v>70</v>
      </c>
      <c r="BP96" s="49">
        <f t="shared" si="83"/>
        <v>20.125093393080284</v>
      </c>
      <c r="BQ96" s="82">
        <f t="shared" si="84"/>
        <v>4047.6445485950958</v>
      </c>
      <c r="BS96" s="193">
        <v>4047.6445485950958</v>
      </c>
    </row>
    <row r="97" spans="1:71" x14ac:dyDescent="0.25">
      <c r="A97">
        <v>7</v>
      </c>
      <c r="B97" s="1" t="s">
        <v>32</v>
      </c>
      <c r="C97" s="9" t="s">
        <v>33</v>
      </c>
      <c r="D97" s="10" t="s">
        <v>34</v>
      </c>
      <c r="E97" s="11" t="s">
        <v>35</v>
      </c>
      <c r="F97" s="33">
        <v>44369</v>
      </c>
      <c r="G97" s="29">
        <v>0.17569444444444446</v>
      </c>
      <c r="H97" s="28">
        <v>21</v>
      </c>
      <c r="I97" s="28">
        <v>58</v>
      </c>
      <c r="J97" s="28" t="s">
        <v>88</v>
      </c>
      <c r="K97" s="10">
        <v>126</v>
      </c>
      <c r="L97" s="47">
        <f t="shared" si="73"/>
        <v>99820.46987859541</v>
      </c>
      <c r="M97" s="10">
        <f t="shared" si="64"/>
        <v>0.99820469878595408</v>
      </c>
      <c r="N97" s="10" t="s">
        <v>15</v>
      </c>
      <c r="O97" s="10">
        <f>_xll.HumidairTdbRHPsi(H97,I97,M97,N97)</f>
        <v>9.1597347607537353E-3</v>
      </c>
      <c r="P97" s="48">
        <f t="shared" si="65"/>
        <v>9.1597347607537358</v>
      </c>
      <c r="Q97" s="31"/>
      <c r="R97" s="58">
        <v>9.1597347607537358</v>
      </c>
      <c r="S97" s="4"/>
      <c r="T97" s="10">
        <v>7</v>
      </c>
      <c r="U97" s="10" t="s">
        <v>144</v>
      </c>
      <c r="V97" s="78">
        <f>_xll.HumidairTdbRHPsi(H97, I97,M97,U97)</f>
        <v>12.431949960559734</v>
      </c>
      <c r="W97" s="79">
        <v>12.431949960559734</v>
      </c>
      <c r="X97" s="4"/>
      <c r="Y97" s="10">
        <v>7</v>
      </c>
      <c r="Z97" s="10" t="s">
        <v>145</v>
      </c>
      <c r="AA97" s="78">
        <f>_xll.HumidairTdbRHPsi(H97,I97,M97,Z97)</f>
        <v>44.385592882712288</v>
      </c>
      <c r="AB97" s="81">
        <f t="shared" si="74"/>
        <v>81.385592882712288</v>
      </c>
      <c r="AC97" s="80">
        <v>81.385592882712288</v>
      </c>
      <c r="AE97" s="10" t="s">
        <v>146</v>
      </c>
      <c r="AF97" s="78">
        <f>_xll.HumidairTdbRHPsi(H97,I97,M97,AE97)</f>
        <v>21.130442753305154</v>
      </c>
      <c r="AG97" s="81">
        <f t="shared" si="75"/>
        <v>58.130442753305154</v>
      </c>
      <c r="AH97" s="80">
        <v>58.130442753305154</v>
      </c>
      <c r="AJ97" s="10" t="s">
        <v>150</v>
      </c>
      <c r="AK97" s="84">
        <f>_xll.HumidairTdbRHPsi(H97,I97,M97,AJ97)</f>
        <v>0.84560213854472843</v>
      </c>
      <c r="AL97" s="58">
        <v>0.84560213854472843</v>
      </c>
      <c r="AN97" s="48">
        <f t="shared" si="66"/>
        <v>0.50236852156199574</v>
      </c>
      <c r="AO97" s="81">
        <f t="shared" si="76"/>
        <v>18.233098547404431</v>
      </c>
      <c r="AP97" s="81">
        <f t="shared" si="67"/>
        <v>44.538657305979712</v>
      </c>
      <c r="AR97" s="58">
        <v>0.50236852156199574</v>
      </c>
      <c r="AS97" s="80">
        <v>18.233098547404431</v>
      </c>
      <c r="AT97" s="160">
        <v>44.538657305979712</v>
      </c>
      <c r="AU97" s="140"/>
      <c r="AV97" s="49">
        <f t="shared" si="68"/>
        <v>0.13263147843800427</v>
      </c>
      <c r="AW97" s="162">
        <f t="shared" si="69"/>
        <v>1.3263147843800427E-4</v>
      </c>
      <c r="AX97" s="10">
        <f t="shared" si="70"/>
        <v>58</v>
      </c>
      <c r="AY97" s="55">
        <f t="shared" si="71"/>
        <v>6.407957249253738E-3</v>
      </c>
      <c r="AZ97" s="55">
        <f t="shared" si="72"/>
        <v>3.7627464763674325E-3</v>
      </c>
      <c r="BB97" s="58">
        <v>0.13263147843800427</v>
      </c>
      <c r="BC97" s="167">
        <v>1.3263147843800427E-4</v>
      </c>
      <c r="BD97" s="168">
        <v>58</v>
      </c>
      <c r="BE97" s="170">
        <v>6.407957249253738E-3</v>
      </c>
      <c r="BF97" s="171">
        <v>3.7627464763674325E-3</v>
      </c>
      <c r="BH97" s="81">
        <f t="shared" si="77"/>
        <v>330.69297954789641</v>
      </c>
      <c r="BI97" s="80">
        <v>330.69297954789641</v>
      </c>
      <c r="BK97" s="81">
        <f t="shared" si="78"/>
        <v>81.385592882712288</v>
      </c>
      <c r="BL97" s="81">
        <f t="shared" si="79"/>
        <v>58.130442753305154</v>
      </c>
      <c r="BM97" s="81">
        <f t="shared" si="80"/>
        <v>23.255150129407134</v>
      </c>
      <c r="BN97" s="192">
        <f t="shared" si="81"/>
        <v>0.28574037868005669</v>
      </c>
      <c r="BO97" s="81">
        <f t="shared" si="82"/>
        <v>58</v>
      </c>
      <c r="BP97" s="49">
        <f t="shared" si="83"/>
        <v>16.572941963443288</v>
      </c>
      <c r="BQ97" s="82">
        <f t="shared" si="84"/>
        <v>4404.4800965285494</v>
      </c>
      <c r="BS97" s="193">
        <v>4404.4800965285494</v>
      </c>
    </row>
    <row r="98" spans="1:71" x14ac:dyDescent="0.25">
      <c r="A98">
        <v>8</v>
      </c>
      <c r="C98" s="9" t="s">
        <v>36</v>
      </c>
      <c r="D98" s="10" t="s">
        <v>37</v>
      </c>
      <c r="E98" s="11" t="s">
        <v>38</v>
      </c>
      <c r="F98" s="33">
        <v>44369</v>
      </c>
      <c r="G98" s="29">
        <v>0.42499999999999999</v>
      </c>
      <c r="H98" s="28">
        <v>21</v>
      </c>
      <c r="I98" s="28">
        <v>56</v>
      </c>
      <c r="J98" s="28" t="s">
        <v>90</v>
      </c>
      <c r="K98" s="10">
        <v>143</v>
      </c>
      <c r="L98" s="47">
        <f t="shared" si="73"/>
        <v>99618.87034335341</v>
      </c>
      <c r="M98" s="10">
        <f t="shared" si="64"/>
        <v>0.99618870343353405</v>
      </c>
      <c r="N98" s="10" t="s">
        <v>15</v>
      </c>
      <c r="O98" s="10">
        <f>_xll.HumidairTdbRHPsi(H98,I98,M98,N98)</f>
        <v>8.8574832394412873E-3</v>
      </c>
      <c r="P98" s="48">
        <f t="shared" si="65"/>
        <v>8.8574832394412866</v>
      </c>
      <c r="Q98" s="31"/>
      <c r="R98" s="58">
        <v>8.8574832394412866</v>
      </c>
      <c r="S98" s="4"/>
      <c r="T98" s="10">
        <v>8</v>
      </c>
      <c r="U98" s="10" t="s">
        <v>144</v>
      </c>
      <c r="V98" s="78">
        <f>_xll.HumidairTdbRHPsi(H98, I98,M98,U98)</f>
        <v>11.899192316904589</v>
      </c>
      <c r="W98" s="79">
        <v>11.899192316904589</v>
      </c>
      <c r="X98" s="4"/>
      <c r="Y98" s="10">
        <v>8</v>
      </c>
      <c r="Z98" s="10" t="s">
        <v>145</v>
      </c>
      <c r="AA98" s="78">
        <f>_xll.HumidairTdbRHPsi(H98,I98,M98,Z98)</f>
        <v>43.618904653784462</v>
      </c>
      <c r="AB98" s="81">
        <f t="shared" si="74"/>
        <v>80.618904653784455</v>
      </c>
      <c r="AC98" s="80">
        <v>80.618904653784455</v>
      </c>
      <c r="AE98" s="10" t="s">
        <v>146</v>
      </c>
      <c r="AF98" s="78">
        <f>_xll.HumidairTdbRHPsi(H98,I98,M98,AE98)</f>
        <v>21.13092124179223</v>
      </c>
      <c r="AG98" s="81">
        <f t="shared" si="75"/>
        <v>58.13092124179223</v>
      </c>
      <c r="AH98" s="80">
        <v>58.13092124179223</v>
      </c>
      <c r="AJ98" s="10" t="s">
        <v>150</v>
      </c>
      <c r="AK98" s="84">
        <f>_xll.HumidairTdbRHPsi(H98,I98,M98,AJ98)</f>
        <v>0.84731397248250129</v>
      </c>
      <c r="AL98" s="58">
        <v>0.84731397248250129</v>
      </c>
      <c r="AN98" s="48">
        <f t="shared" si="66"/>
        <v>0.50135358316559586</v>
      </c>
      <c r="AO98" s="81">
        <f t="shared" si="76"/>
        <v>17.667138596106696</v>
      </c>
      <c r="AP98" s="81">
        <f t="shared" si="67"/>
        <v>43.156166214066694</v>
      </c>
      <c r="AR98" s="58">
        <v>0.50135358316559586</v>
      </c>
      <c r="AS98" s="80">
        <v>17.667138596106696</v>
      </c>
      <c r="AT98" s="160">
        <v>43.156166214066694</v>
      </c>
      <c r="AU98" s="140"/>
      <c r="AV98" s="49">
        <f t="shared" si="68"/>
        <v>0.13364641683440415</v>
      </c>
      <c r="AW98" s="162">
        <f t="shared" si="69"/>
        <v>1.3364641683440414E-4</v>
      </c>
      <c r="AX98" s="10">
        <f t="shared" si="70"/>
        <v>58</v>
      </c>
      <c r="AY98" s="55">
        <f t="shared" si="71"/>
        <v>6.4569929829374016E-3</v>
      </c>
      <c r="AZ98" s="55">
        <f t="shared" si="72"/>
        <v>3.7915402131165009E-3</v>
      </c>
      <c r="BB98" s="58">
        <v>0.13364641683440415</v>
      </c>
      <c r="BC98" s="167">
        <v>1.3364641683440414E-4</v>
      </c>
      <c r="BD98" s="168">
        <v>58</v>
      </c>
      <c r="BE98" s="170">
        <v>6.4569929829374016E-3</v>
      </c>
      <c r="BF98" s="171">
        <v>3.7915402131165009E-3</v>
      </c>
      <c r="BH98" s="81">
        <f t="shared" si="77"/>
        <v>330.02487836727414</v>
      </c>
      <c r="BI98" s="80">
        <v>330.02487836727414</v>
      </c>
      <c r="BK98" s="81">
        <f t="shared" si="78"/>
        <v>80.618904653784455</v>
      </c>
      <c r="BL98" s="81">
        <f t="shared" si="79"/>
        <v>58.13092124179223</v>
      </c>
      <c r="BM98" s="81">
        <f t="shared" si="80"/>
        <v>22.487983411992225</v>
      </c>
      <c r="BN98" s="192">
        <f t="shared" si="81"/>
        <v>0.27894181282375663</v>
      </c>
      <c r="BO98" s="81">
        <f t="shared" si="82"/>
        <v>58</v>
      </c>
      <c r="BP98" s="49">
        <f t="shared" si="83"/>
        <v>16.178625143777886</v>
      </c>
      <c r="BQ98" s="82">
        <f t="shared" si="84"/>
        <v>4267.0324549926572</v>
      </c>
      <c r="BS98" s="193">
        <v>4267.0324549926572</v>
      </c>
    </row>
    <row r="99" spans="1:71" x14ac:dyDescent="0.25">
      <c r="A99">
        <v>9</v>
      </c>
      <c r="C99" s="68" t="s">
        <v>39</v>
      </c>
      <c r="D99" s="10" t="s">
        <v>40</v>
      </c>
      <c r="E99" s="11" t="s">
        <v>41</v>
      </c>
      <c r="F99" s="33">
        <v>44368</v>
      </c>
      <c r="G99" s="29">
        <v>0.91527777777777775</v>
      </c>
      <c r="H99" s="28">
        <v>26</v>
      </c>
      <c r="I99" s="28">
        <v>64</v>
      </c>
      <c r="J99" s="28" t="s">
        <v>85</v>
      </c>
      <c r="K99" s="10">
        <v>62</v>
      </c>
      <c r="L99" s="47">
        <f t="shared" si="73"/>
        <v>100582.39802554256</v>
      </c>
      <c r="M99" s="10">
        <f t="shared" si="64"/>
        <v>1.0058239802554256</v>
      </c>
      <c r="N99" s="10" t="s">
        <v>15</v>
      </c>
      <c r="O99" s="10">
        <f>_xll.HumidairTdbRHPsi(H99,I99,M99,N99)</f>
        <v>1.3659537940974286E-2</v>
      </c>
      <c r="P99" s="48">
        <f t="shared" si="65"/>
        <v>13.659537940974285</v>
      </c>
      <c r="Q99" s="31"/>
      <c r="R99" s="58">
        <v>13.659537940974285</v>
      </c>
      <c r="S99" s="4"/>
      <c r="T99" s="10">
        <v>9</v>
      </c>
      <c r="U99" s="10" t="s">
        <v>144</v>
      </c>
      <c r="V99" s="78">
        <f>_xll.HumidairTdbRHPsi(H99, I99,M99,U99)</f>
        <v>18.668978244988182</v>
      </c>
      <c r="W99" s="79">
        <v>18.668978244988182</v>
      </c>
      <c r="X99" s="4"/>
      <c r="Y99" s="10">
        <v>9</v>
      </c>
      <c r="Z99" s="10" t="s">
        <v>145</v>
      </c>
      <c r="AA99" s="78">
        <f>_xll.HumidairTdbRHPsi(H99,I99,M99,Z99)</f>
        <v>60.96456219118889</v>
      </c>
      <c r="AB99" s="81">
        <f t="shared" si="74"/>
        <v>97.96456219118889</v>
      </c>
      <c r="AC99" s="80">
        <v>97.96456219118889</v>
      </c>
      <c r="AE99" s="10" t="s">
        <v>146</v>
      </c>
      <c r="AF99" s="78">
        <f>_xll.HumidairTdbRHPsi(H99,I99,M99,AE99)</f>
        <v>26.160524585980536</v>
      </c>
      <c r="AG99" s="81">
        <f t="shared" si="75"/>
        <v>63.160524585980539</v>
      </c>
      <c r="AH99" s="80">
        <v>63.160524585980539</v>
      </c>
      <c r="AJ99" s="10" t="s">
        <v>150</v>
      </c>
      <c r="AK99" s="84">
        <f>_xll.HumidairTdbRHPsi(H99,I99,M99,AJ99)</f>
        <v>0.85349874029016282</v>
      </c>
      <c r="AL99" s="58">
        <v>0.85349874029016282</v>
      </c>
      <c r="AN99" s="48">
        <f t="shared" si="66"/>
        <v>0.49772058951833614</v>
      </c>
      <c r="AO99" s="81">
        <f t="shared" si="76"/>
        <v>27.444189026202753</v>
      </c>
      <c r="AP99" s="81">
        <f t="shared" si="67"/>
        <v>67.038925221658374</v>
      </c>
      <c r="AR99" s="58">
        <v>0.49772058951833614</v>
      </c>
      <c r="AS99" s="80">
        <v>27.444189026202753</v>
      </c>
      <c r="AT99" s="160">
        <v>67.038925221658374</v>
      </c>
      <c r="AU99" s="140"/>
      <c r="AV99" s="49">
        <f t="shared" si="68"/>
        <v>0.13727941048166387</v>
      </c>
      <c r="AW99" s="162">
        <f t="shared" si="69"/>
        <v>1.3727941048166388E-4</v>
      </c>
      <c r="AX99" s="10">
        <f t="shared" si="70"/>
        <v>63</v>
      </c>
      <c r="AY99" s="55">
        <f t="shared" si="71"/>
        <v>7.2042861826672388E-3</v>
      </c>
      <c r="AZ99" s="55">
        <f t="shared" si="72"/>
        <v>4.2303500779020779E-3</v>
      </c>
      <c r="BB99" s="58">
        <v>0.13727941048166387</v>
      </c>
      <c r="BC99" s="167">
        <v>1.3727941048166388E-4</v>
      </c>
      <c r="BD99" s="168">
        <v>63</v>
      </c>
      <c r="BE99" s="170">
        <v>7.2042861826672388E-3</v>
      </c>
      <c r="BF99" s="171">
        <v>4.2303500779020779E-3</v>
      </c>
      <c r="BH99" s="81">
        <f t="shared" si="77"/>
        <v>327.63339593490474</v>
      </c>
      <c r="BI99" s="80">
        <v>327.63339593490474</v>
      </c>
      <c r="BK99" s="81">
        <f t="shared" si="78"/>
        <v>97.96456219118889</v>
      </c>
      <c r="BL99" s="81">
        <f t="shared" si="79"/>
        <v>63.160524585980539</v>
      </c>
      <c r="BM99" s="81">
        <f t="shared" si="80"/>
        <v>34.80403760520835</v>
      </c>
      <c r="BN99" s="192">
        <f t="shared" si="81"/>
        <v>0.35527171077725378</v>
      </c>
      <c r="BO99" s="81">
        <f t="shared" si="82"/>
        <v>63</v>
      </c>
      <c r="BP99" s="49">
        <f t="shared" si="83"/>
        <v>22.38211777896699</v>
      </c>
      <c r="BQ99" s="82">
        <f t="shared" si="84"/>
        <v>5290.8429247696604</v>
      </c>
      <c r="BS99" s="193">
        <v>5290.8429247696604</v>
      </c>
    </row>
    <row r="100" spans="1:71" x14ac:dyDescent="0.25">
      <c r="A100" s="5">
        <v>10</v>
      </c>
      <c r="B100" s="14"/>
      <c r="C100" s="12" t="s">
        <v>42</v>
      </c>
      <c r="D100" s="13" t="s">
        <v>43</v>
      </c>
      <c r="E100" s="8" t="s">
        <v>44</v>
      </c>
      <c r="F100" s="33">
        <v>44368</v>
      </c>
      <c r="G100" s="29">
        <v>0.87708333333333333</v>
      </c>
      <c r="H100" s="28">
        <v>16</v>
      </c>
      <c r="I100" s="28">
        <v>41</v>
      </c>
      <c r="J100" s="28" t="s">
        <v>86</v>
      </c>
      <c r="K100" s="10">
        <v>255</v>
      </c>
      <c r="L100" s="47">
        <f t="shared" si="73"/>
        <v>98298.910193542106</v>
      </c>
      <c r="M100" s="10">
        <f t="shared" si="64"/>
        <v>0.98298910193542111</v>
      </c>
      <c r="N100" s="10" t="s">
        <v>15</v>
      </c>
      <c r="O100" s="10">
        <f>_xll.HumidairTdbRHPsi(H100,I100,M100,N100)</f>
        <v>4.7722792194555153E-3</v>
      </c>
      <c r="P100" s="48">
        <f t="shared" si="65"/>
        <v>4.7722792194555153</v>
      </c>
      <c r="Q100" s="31"/>
      <c r="R100" s="58">
        <v>4.7722792194555153</v>
      </c>
      <c r="S100" s="4"/>
      <c r="T100" s="10">
        <v>10</v>
      </c>
      <c r="U100" s="10" t="s">
        <v>144</v>
      </c>
      <c r="V100" s="78">
        <f>_xll.HumidairTdbRHPsi(H100, I100,M100,U100)</f>
        <v>2.7673395724410739</v>
      </c>
      <c r="W100" s="79">
        <v>2.7673395724410739</v>
      </c>
      <c r="X100" s="4"/>
      <c r="Y100" s="10">
        <v>10</v>
      </c>
      <c r="Z100" s="10" t="s">
        <v>145</v>
      </c>
      <c r="AA100" s="78">
        <f>_xll.HumidairTdbRHPsi(H100,I100,M100,Z100)</f>
        <v>28.17597980044814</v>
      </c>
      <c r="AB100" s="81">
        <f t="shared" si="74"/>
        <v>65.175979800448147</v>
      </c>
      <c r="AC100" s="80">
        <v>65.175979800448147</v>
      </c>
      <c r="AE100" s="10" t="s">
        <v>146</v>
      </c>
      <c r="AF100" s="78">
        <f>_xll.HumidairTdbRHPsi(H100,I100,M100,AE100)</f>
        <v>16.103145559486222</v>
      </c>
      <c r="AG100" s="81">
        <f t="shared" si="75"/>
        <v>53.103145559486222</v>
      </c>
      <c r="AH100" s="80">
        <v>53.103145559486222</v>
      </c>
      <c r="AJ100" s="10" t="s">
        <v>150</v>
      </c>
      <c r="AK100" s="84">
        <f>_xll.HumidairTdbRHPsi(H100,I100,M100,AJ100)</f>
        <v>0.84405827207084816</v>
      </c>
      <c r="AL100" s="58">
        <v>0.84405827207084816</v>
      </c>
      <c r="AN100" s="48">
        <f t="shared" si="66"/>
        <v>0.50328740352031065</v>
      </c>
      <c r="AO100" s="81">
        <f t="shared" si="76"/>
        <v>9.4822147068954514</v>
      </c>
      <c r="AP100" s="81">
        <f t="shared" si="67"/>
        <v>23.162552993070801</v>
      </c>
      <c r="AR100" s="58">
        <v>0.50328740352031065</v>
      </c>
      <c r="AS100" s="80">
        <v>9.4822147068954514</v>
      </c>
      <c r="AT100" s="160">
        <v>23.162552993070801</v>
      </c>
      <c r="AU100" s="140"/>
      <c r="AV100" s="49">
        <f t="shared" si="68"/>
        <v>0.13171259647968936</v>
      </c>
      <c r="AW100" s="162">
        <f t="shared" si="69"/>
        <v>1.3171259647968935E-4</v>
      </c>
      <c r="AX100" s="10">
        <f t="shared" si="70"/>
        <v>53</v>
      </c>
      <c r="AY100" s="55">
        <f t="shared" si="71"/>
        <v>5.814979421981805E-3</v>
      </c>
      <c r="AZ100" s="55">
        <f t="shared" si="72"/>
        <v>3.4145504533069906E-3</v>
      </c>
      <c r="BB100" s="58">
        <v>0.13171259647968936</v>
      </c>
      <c r="BC100" s="167">
        <v>1.3171259647968935E-4</v>
      </c>
      <c r="BD100" s="168">
        <v>53</v>
      </c>
      <c r="BE100" s="170">
        <v>5.814979421981805E-3</v>
      </c>
      <c r="BF100" s="171">
        <v>3.4145504533069906E-3</v>
      </c>
      <c r="BH100" s="81">
        <f t="shared" si="77"/>
        <v>331.29784987636197</v>
      </c>
      <c r="BI100" s="80">
        <v>331.29784987636197</v>
      </c>
      <c r="BK100" s="81">
        <f t="shared" si="78"/>
        <v>65.175979800448147</v>
      </c>
      <c r="BL100" s="81">
        <f t="shared" si="79"/>
        <v>53.103145559486222</v>
      </c>
      <c r="BM100" s="81">
        <f t="shared" si="80"/>
        <v>12.072834240961924</v>
      </c>
      <c r="BN100" s="192">
        <f t="shared" si="81"/>
        <v>0.18523441117303943</v>
      </c>
      <c r="BO100" s="81">
        <f t="shared" si="82"/>
        <v>53</v>
      </c>
      <c r="BP100" s="49">
        <f t="shared" si="83"/>
        <v>9.8174237921710894</v>
      </c>
      <c r="BQ100" s="82">
        <f t="shared" si="84"/>
        <v>2875.1731527829438</v>
      </c>
      <c r="BS100" s="193">
        <v>2875.1731527829438</v>
      </c>
    </row>
    <row r="101" spans="1:71" x14ac:dyDescent="0.25">
      <c r="A101">
        <v>11</v>
      </c>
      <c r="C101" s="9" t="s">
        <v>77</v>
      </c>
      <c r="D101" s="10" t="s">
        <v>78</v>
      </c>
      <c r="E101" s="11" t="s">
        <v>79</v>
      </c>
      <c r="F101" s="33">
        <v>44369</v>
      </c>
      <c r="G101" s="34">
        <v>9.0277777777777776E-2</v>
      </c>
      <c r="H101" s="28">
        <v>34</v>
      </c>
      <c r="I101" s="28">
        <v>10</v>
      </c>
      <c r="J101" s="28" t="s">
        <v>88</v>
      </c>
      <c r="K101" s="10">
        <v>138</v>
      </c>
      <c r="L101" s="47">
        <f>+((101325*(1-(2.25577*10^-5)*(K101))^5.25588))</f>
        <v>99678.130068961269</v>
      </c>
      <c r="M101" s="10">
        <f t="shared" si="64"/>
        <v>0.99678130068961268</v>
      </c>
      <c r="N101" s="10" t="s">
        <v>15</v>
      </c>
      <c r="O101" s="10">
        <f>_xll.HumidairTdbRHPsi(H101,I101,M101,N101)</f>
        <v>3.3549051019877256E-3</v>
      </c>
      <c r="P101" s="48">
        <f t="shared" si="65"/>
        <v>3.3549051019877254</v>
      </c>
      <c r="Q101" s="31"/>
      <c r="R101" s="58">
        <v>3.3549051019877254</v>
      </c>
      <c r="S101" s="4"/>
      <c r="T101" s="10">
        <v>11</v>
      </c>
      <c r="U101" s="10" t="s">
        <v>144</v>
      </c>
      <c r="V101" s="78">
        <f>_xll.HumidairTdbRHPsi(H101, I101,M101,U101)</f>
        <v>-1.6593072824105661</v>
      </c>
      <c r="W101" s="79">
        <v>-1.6593072824105661</v>
      </c>
      <c r="X101" s="4"/>
      <c r="Y101" s="10">
        <v>11</v>
      </c>
      <c r="Z101" s="10" t="s">
        <v>145</v>
      </c>
      <c r="AA101" s="78">
        <f>_xll.HumidairTdbRHPsi(H101,I101,M101,Z101)</f>
        <v>42.815963550278958</v>
      </c>
      <c r="AB101" s="81">
        <f t="shared" si="74"/>
        <v>79.815963550278951</v>
      </c>
      <c r="AC101" s="80">
        <v>79.815963550278951</v>
      </c>
      <c r="AE101" s="10" t="s">
        <v>146</v>
      </c>
      <c r="AF101" s="78">
        <f>_xll.HumidairTdbRHPsi(H101,I101,M101,AE101)</f>
        <v>34.215372976637219</v>
      </c>
      <c r="AG101" s="81">
        <f t="shared" si="75"/>
        <v>71.215372976637212</v>
      </c>
      <c r="AH101" s="80">
        <v>71.215372976637212</v>
      </c>
      <c r="AJ101" s="10" t="s">
        <v>150</v>
      </c>
      <c r="AK101" s="84">
        <f>_xll.HumidairTdbRHPsi(H101,I101,M101,AJ101)</f>
        <v>0.88433509959255985</v>
      </c>
      <c r="AL101" s="58">
        <v>0.88433509959255985</v>
      </c>
      <c r="AN101" s="48">
        <f t="shared" si="66"/>
        <v>0.48036530085269397</v>
      </c>
      <c r="AO101" s="81">
        <f t="shared" si="76"/>
        <v>6.9840704481203177</v>
      </c>
      <c r="AP101" s="81">
        <f t="shared" si="67"/>
        <v>17.060244559141704</v>
      </c>
      <c r="AR101" s="58">
        <v>0.48036530085269397</v>
      </c>
      <c r="AS101" s="80">
        <v>6.9840704481203177</v>
      </c>
      <c r="AT101" s="160">
        <v>17.060244559141704</v>
      </c>
      <c r="AU101" s="140"/>
      <c r="AV101" s="49">
        <f t="shared" si="68"/>
        <v>0.15463469914730604</v>
      </c>
      <c r="AW101" s="162">
        <f t="shared" si="69"/>
        <v>1.5463469914730603E-4</v>
      </c>
      <c r="AX101" s="10">
        <f t="shared" si="70"/>
        <v>71</v>
      </c>
      <c r="AY101" s="55">
        <f t="shared" si="71"/>
        <v>9.1455600116691193E-3</v>
      </c>
      <c r="AZ101" s="55">
        <f t="shared" si="72"/>
        <v>5.3702642464293123E-3</v>
      </c>
      <c r="BB101" s="58">
        <v>0.15463469914730604</v>
      </c>
      <c r="BC101" s="167">
        <v>1.5463469914730603E-4</v>
      </c>
      <c r="BD101" s="168">
        <v>71</v>
      </c>
      <c r="BE101" s="170">
        <v>9.1455600116691193E-3</v>
      </c>
      <c r="BF101" s="171">
        <v>5.3702642464293123E-3</v>
      </c>
      <c r="BH101" s="81">
        <f t="shared" si="77"/>
        <v>316.20896969515917</v>
      </c>
      <c r="BI101" s="80">
        <v>316.20896969515917</v>
      </c>
      <c r="BK101" s="81">
        <f t="shared" si="78"/>
        <v>79.815963550278951</v>
      </c>
      <c r="BL101" s="81">
        <f t="shared" si="79"/>
        <v>71.215372976637212</v>
      </c>
      <c r="BM101" s="81">
        <f t="shared" si="80"/>
        <v>8.600590573641739</v>
      </c>
      <c r="BN101" s="192">
        <f t="shared" si="81"/>
        <v>0.10775526838342203</v>
      </c>
      <c r="BO101" s="81">
        <f t="shared" si="82"/>
        <v>71</v>
      </c>
      <c r="BP101" s="49">
        <f t="shared" si="83"/>
        <v>7.6506240552229645</v>
      </c>
      <c r="BQ101" s="82">
        <f t="shared" si="84"/>
        <v>1424.6271140772753</v>
      </c>
      <c r="BS101" s="193">
        <v>1424.6271140772753</v>
      </c>
    </row>
    <row r="102" spans="1:71" x14ac:dyDescent="0.25">
      <c r="A102">
        <v>12</v>
      </c>
      <c r="B102" s="1" t="s">
        <v>48</v>
      </c>
      <c r="C102" s="9" t="s">
        <v>45</v>
      </c>
      <c r="D102" s="10" t="s">
        <v>46</v>
      </c>
      <c r="E102" s="11" t="s">
        <v>47</v>
      </c>
      <c r="F102" s="33">
        <v>44369</v>
      </c>
      <c r="G102" s="29">
        <v>0.12916666666666668</v>
      </c>
      <c r="H102" s="28">
        <v>27</v>
      </c>
      <c r="I102" s="28">
        <v>83</v>
      </c>
      <c r="J102" s="28" t="s">
        <v>87</v>
      </c>
      <c r="K102" s="10">
        <v>30</v>
      </c>
      <c r="L102" s="47">
        <f>+((101325*(1-(2.25577*10^-5)*(K102))^5.25588))</f>
        <v>100965.12412724759</v>
      </c>
      <c r="M102" s="10">
        <f t="shared" si="64"/>
        <v>1.0096512412724759</v>
      </c>
      <c r="N102" s="10" t="s">
        <v>15</v>
      </c>
      <c r="O102" s="10">
        <f>_xll.HumidairTdbRHPsi(H102,I102,M102,N102)</f>
        <v>1.8873286647189659E-2</v>
      </c>
      <c r="P102" s="48">
        <f t="shared" si="65"/>
        <v>18.873286647189659</v>
      </c>
      <c r="Q102" s="31"/>
      <c r="R102" s="58">
        <v>18.873286647189659</v>
      </c>
      <c r="S102" s="4"/>
      <c r="T102" s="10">
        <v>12</v>
      </c>
      <c r="U102" s="10" t="s">
        <v>144</v>
      </c>
      <c r="V102" s="78">
        <f>_xll.HumidairTdbRHPsi(H102, I102,M102,U102)</f>
        <v>23.865747288956356</v>
      </c>
      <c r="W102" s="79">
        <v>23.865747288956356</v>
      </c>
      <c r="X102" s="4"/>
      <c r="Y102" s="10">
        <v>12</v>
      </c>
      <c r="Z102" s="10" t="s">
        <v>145</v>
      </c>
      <c r="AA102" s="78">
        <f>_xll.HumidairTdbRHPsi(H102,I102,M102,Z102)</f>
        <v>75.284357069557061</v>
      </c>
      <c r="AB102" s="81">
        <f t="shared" si="74"/>
        <v>112.28435706955706</v>
      </c>
      <c r="AC102" s="80">
        <v>112.28435706955706</v>
      </c>
      <c r="AE102" s="10" t="s">
        <v>146</v>
      </c>
      <c r="AF102" s="78">
        <f>_xll.HumidairTdbRHPsi(H102,I102,M102,AE102)</f>
        <v>27.166135458840738</v>
      </c>
      <c r="AG102" s="81">
        <f t="shared" si="75"/>
        <v>64.166135458840742</v>
      </c>
      <c r="AH102" s="80">
        <v>64.166135458840742</v>
      </c>
      <c r="AJ102" s="10" t="s">
        <v>150</v>
      </c>
      <c r="AK102" s="84">
        <f>_xll.HumidairTdbRHPsi(H102,I102,M102,AJ102)</f>
        <v>0.85311232746273591</v>
      </c>
      <c r="AL102" s="58">
        <v>0.85311232746273591</v>
      </c>
      <c r="AN102" s="48">
        <f t="shared" si="66"/>
        <v>0.49794602949156497</v>
      </c>
      <c r="AO102" s="81">
        <f t="shared" si="76"/>
        <v>37.902273598728165</v>
      </c>
      <c r="AP102" s="81">
        <f t="shared" si="67"/>
        <v>92.585271260520202</v>
      </c>
      <c r="AR102" s="58">
        <v>0.49794602949156497</v>
      </c>
      <c r="AS102" s="80">
        <v>37.902273598728165</v>
      </c>
      <c r="AT102" s="80">
        <v>92.585271260520202</v>
      </c>
      <c r="AU102" s="140"/>
      <c r="AV102" s="49">
        <f t="shared" si="68"/>
        <v>0.13705397050843504</v>
      </c>
      <c r="AW102" s="162">
        <f t="shared" si="69"/>
        <v>1.3705397050843505E-4</v>
      </c>
      <c r="AX102" s="10">
        <f t="shared" si="70"/>
        <v>64</v>
      </c>
      <c r="AY102" s="55">
        <f t="shared" si="71"/>
        <v>7.3066212757456894E-3</v>
      </c>
      <c r="AZ102" s="55">
        <f t="shared" si="72"/>
        <v>4.2904411484120308E-3</v>
      </c>
      <c r="BB102" s="58">
        <v>0.13705397050843504</v>
      </c>
      <c r="BC102" s="167">
        <v>1.3705397050843505E-4</v>
      </c>
      <c r="BD102" s="168">
        <v>64</v>
      </c>
      <c r="BE102" s="170">
        <v>7.3066212757456894E-3</v>
      </c>
      <c r="BF102" s="171">
        <v>4.2904411484120308E-3</v>
      </c>
      <c r="BH102" s="81">
        <f t="shared" si="77"/>
        <v>327.7817957912979</v>
      </c>
      <c r="BI102" s="80">
        <v>327.7817957912979</v>
      </c>
      <c r="BK102" s="81">
        <f t="shared" si="78"/>
        <v>112.28435706955706</v>
      </c>
      <c r="BL102" s="81">
        <f t="shared" si="79"/>
        <v>64.166135458840742</v>
      </c>
      <c r="BM102" s="81">
        <f t="shared" si="80"/>
        <v>48.118221610716319</v>
      </c>
      <c r="BN102" s="192">
        <f t="shared" si="81"/>
        <v>0.42853896006999809</v>
      </c>
      <c r="BO102" s="81">
        <f t="shared" si="82"/>
        <v>64</v>
      </c>
      <c r="BP102" s="49">
        <f t="shared" si="83"/>
        <v>27.426493444479878</v>
      </c>
      <c r="BQ102" s="82">
        <f t="shared" si="84"/>
        <v>6392.464666397047</v>
      </c>
      <c r="BS102" s="193">
        <v>6392.464666397047</v>
      </c>
    </row>
    <row r="103" spans="1:71" x14ac:dyDescent="0.25">
      <c r="A103">
        <v>13</v>
      </c>
      <c r="C103" s="26" t="s">
        <v>49</v>
      </c>
      <c r="D103" s="27" t="s">
        <v>50</v>
      </c>
      <c r="E103" s="10" t="s">
        <v>51</v>
      </c>
      <c r="F103" s="33">
        <v>44369</v>
      </c>
      <c r="G103" s="29">
        <v>0.42430555555555555</v>
      </c>
      <c r="H103" s="28">
        <v>27</v>
      </c>
      <c r="I103" s="28">
        <v>87</v>
      </c>
      <c r="J103" s="28" t="s">
        <v>85</v>
      </c>
      <c r="K103" s="10">
        <v>3</v>
      </c>
      <c r="L103" s="47">
        <f>+((101325*(1-(2.25577*10^-5)*(K103))^5.25588))</f>
        <v>101288.96574192833</v>
      </c>
      <c r="M103" s="10">
        <f t="shared" si="64"/>
        <v>1.0128896574192834</v>
      </c>
      <c r="N103" s="10" t="s">
        <v>15</v>
      </c>
      <c r="O103" s="10">
        <f>_xll.HumidairTdbRHPsi(H103,I103,M103,N103)</f>
        <v>1.9746646985716799E-2</v>
      </c>
      <c r="P103" s="48">
        <f t="shared" si="65"/>
        <v>19.746646985716801</v>
      </c>
      <c r="Q103" s="31"/>
      <c r="R103" s="58">
        <v>19.746646985716801</v>
      </c>
      <c r="S103" s="4"/>
      <c r="T103" s="10">
        <v>13</v>
      </c>
      <c r="U103" s="10" t="s">
        <v>144</v>
      </c>
      <c r="V103" s="78">
        <f>_xll.HumidairTdbRHPsi(H103, I103,M103,U103)</f>
        <v>24.650469665313892</v>
      </c>
      <c r="W103" s="79">
        <v>24.650469665313892</v>
      </c>
      <c r="X103" s="4"/>
      <c r="Y103" s="10">
        <v>13</v>
      </c>
      <c r="Z103" s="10" t="s">
        <v>145</v>
      </c>
      <c r="AA103" s="78">
        <f>_xll.HumidairTdbRHPsi(H103,I103,M103,Z103)</f>
        <v>77.509166701814067</v>
      </c>
      <c r="AB103" s="81">
        <f t="shared" si="74"/>
        <v>114.50916670181407</v>
      </c>
      <c r="AC103" s="80">
        <v>114.50916670181407</v>
      </c>
      <c r="AE103" s="10" t="s">
        <v>146</v>
      </c>
      <c r="AF103" s="78">
        <f>_xll.HumidairTdbRHPsi(H103,I103,M103,AE103)</f>
        <v>27.165399741037799</v>
      </c>
      <c r="AG103" s="81">
        <f t="shared" si="75"/>
        <v>64.165399741037803</v>
      </c>
      <c r="AH103" s="80">
        <v>64.165399741037803</v>
      </c>
      <c r="AJ103" s="10" t="s">
        <v>150</v>
      </c>
      <c r="AK103" s="84">
        <f>_xll.HumidairTdbRHPsi(H103,I103,M103,AJ103)</f>
        <v>0.85038396560416896</v>
      </c>
      <c r="AL103" s="58">
        <v>0.85038396560416896</v>
      </c>
      <c r="AN103" s="48">
        <f t="shared" si="66"/>
        <v>0.49954363364385446</v>
      </c>
      <c r="AO103" s="81">
        <f t="shared" si="76"/>
        <v>39.529373723927812</v>
      </c>
      <c r="AP103" s="81">
        <f t="shared" si="67"/>
        <v>96.559848301848163</v>
      </c>
      <c r="AR103" s="58">
        <v>0.49954363364385446</v>
      </c>
      <c r="AS103" s="80">
        <v>39.529373723927812</v>
      </c>
      <c r="AT103" s="80">
        <v>96.559848301848163</v>
      </c>
      <c r="AU103" s="140"/>
      <c r="AV103" s="49">
        <f t="shared" si="68"/>
        <v>0.13545636635614555</v>
      </c>
      <c r="AW103" s="162">
        <f t="shared" si="69"/>
        <v>1.3545636635614556E-4</v>
      </c>
      <c r="AX103" s="10">
        <f t="shared" si="70"/>
        <v>64</v>
      </c>
      <c r="AY103" s="55">
        <f t="shared" si="71"/>
        <v>7.221449803178832E-3</v>
      </c>
      <c r="AZ103" s="55">
        <f t="shared" si="72"/>
        <v>4.2404285397409465E-3</v>
      </c>
      <c r="BB103" s="58">
        <v>0.13545636635614555</v>
      </c>
      <c r="BC103" s="167">
        <v>1.3545636635614556E-4</v>
      </c>
      <c r="BD103" s="168">
        <v>64</v>
      </c>
      <c r="BE103" s="170">
        <v>7.221449803178832E-3</v>
      </c>
      <c r="BF103" s="171">
        <v>4.2404285397409465E-3</v>
      </c>
      <c r="BH103" s="81">
        <f t="shared" si="77"/>
        <v>328.833447028553</v>
      </c>
      <c r="BI103" s="80">
        <v>328.833447028553</v>
      </c>
      <c r="BK103" s="81">
        <f t="shared" si="78"/>
        <v>114.50916670181407</v>
      </c>
      <c r="BL103" s="81">
        <f t="shared" si="79"/>
        <v>64.165399741037803</v>
      </c>
      <c r="BM103" s="81">
        <f t="shared" si="80"/>
        <v>50.343766960776264</v>
      </c>
      <c r="BN103" s="192">
        <f t="shared" si="81"/>
        <v>0.43964835664094232</v>
      </c>
      <c r="BO103" s="81">
        <f t="shared" si="82"/>
        <v>64</v>
      </c>
      <c r="BP103" s="49">
        <f t="shared" si="83"/>
        <v>28.137494825020308</v>
      </c>
      <c r="BQ103" s="82">
        <f t="shared" si="84"/>
        <v>6635.5309519587536</v>
      </c>
      <c r="BS103" s="193">
        <v>6635.5309519587536</v>
      </c>
    </row>
    <row r="104" spans="1:71" x14ac:dyDescent="0.25">
      <c r="A104" s="5">
        <v>14</v>
      </c>
      <c r="B104" s="14"/>
      <c r="C104" s="9" t="s">
        <v>172</v>
      </c>
      <c r="D104" s="10" t="s">
        <v>83</v>
      </c>
      <c r="E104" s="10" t="s">
        <v>84</v>
      </c>
      <c r="F104" s="33">
        <v>44369</v>
      </c>
      <c r="G104" s="29">
        <v>0.21527777777777779</v>
      </c>
      <c r="H104" s="28">
        <v>25</v>
      </c>
      <c r="I104" s="28">
        <v>74</v>
      </c>
      <c r="J104" s="28" t="s">
        <v>95</v>
      </c>
      <c r="K104" s="10">
        <v>61</v>
      </c>
      <c r="L104" s="47">
        <f>+((101325*(1-(2.25577*10^-5)*(K104))^5.25588))</f>
        <v>100594.34040699142</v>
      </c>
      <c r="M104" s="10">
        <f t="shared" si="64"/>
        <v>1.0059434040699142</v>
      </c>
      <c r="N104" s="10" t="s">
        <v>15</v>
      </c>
      <c r="O104" s="10">
        <f>_xll.HumidairTdbRHPsi(H104,I104,M104,N104)</f>
        <v>1.4910264057921584E-2</v>
      </c>
      <c r="P104" s="48">
        <f t="shared" si="65"/>
        <v>14.910264057921584</v>
      </c>
      <c r="Q104" s="31"/>
      <c r="R104" s="58">
        <v>14.910264057921584</v>
      </c>
      <c r="S104" s="4"/>
      <c r="T104" s="10">
        <v>14</v>
      </c>
      <c r="U104" s="10" t="s">
        <v>144</v>
      </c>
      <c r="V104" s="78">
        <f>_xll.HumidairTdbRHPsi(H104, I104,M104,U104)</f>
        <v>20.046210613744961</v>
      </c>
      <c r="W104" s="79">
        <v>20.046210613744961</v>
      </c>
      <c r="X104" s="4"/>
      <c r="Y104" s="10">
        <v>14</v>
      </c>
      <c r="Z104" s="10" t="s">
        <v>145</v>
      </c>
      <c r="AA104" s="78">
        <f>_xll.HumidairTdbRHPsi(H104,I104,M104,Z104)</f>
        <v>63.115646309708374</v>
      </c>
      <c r="AB104" s="81">
        <f t="shared" si="74"/>
        <v>100.11564630970838</v>
      </c>
      <c r="AC104" s="80">
        <v>100.11564630970838</v>
      </c>
      <c r="AE104" s="10" t="s">
        <v>146</v>
      </c>
      <c r="AF104" s="78">
        <f>_xll.HumidairTdbRHPsi(H104,I104,M104,AE104)</f>
        <v>25.154051863275779</v>
      </c>
      <c r="AG104" s="81">
        <f t="shared" si="75"/>
        <v>62.154051863275782</v>
      </c>
      <c r="AH104" s="80">
        <v>62.154051863275782</v>
      </c>
      <c r="AJ104" s="10" t="s">
        <v>150</v>
      </c>
      <c r="AK104" s="84">
        <f>_xll.HumidairTdbRHPsi(H104,I104,M104,AJ104)</f>
        <v>0.85053696627203335</v>
      </c>
      <c r="AL104" s="58">
        <v>0.85053696627203335</v>
      </c>
      <c r="AN104" s="48">
        <f t="shared" si="66"/>
        <v>0.49945377216504078</v>
      </c>
      <c r="AO104" s="81">
        <f t="shared" si="76"/>
        <v>29.853141349375168</v>
      </c>
      <c r="AP104" s="81">
        <f t="shared" si="67"/>
        <v>72.923361249318262</v>
      </c>
      <c r="AR104" s="58">
        <v>0.49945377216504078</v>
      </c>
      <c r="AS104" s="80">
        <v>29.853141349375168</v>
      </c>
      <c r="AT104" s="80">
        <v>72.923361249318262</v>
      </c>
      <c r="AU104" s="140"/>
      <c r="AV104" s="49">
        <f t="shared" si="68"/>
        <v>0.13554622783495923</v>
      </c>
      <c r="AW104" s="162">
        <f t="shared" si="69"/>
        <v>1.3554622783495924E-4</v>
      </c>
      <c r="AX104" s="10">
        <f t="shared" si="70"/>
        <v>62</v>
      </c>
      <c r="AY104" s="55">
        <f t="shared" si="71"/>
        <v>7.0004204827643045E-3</v>
      </c>
      <c r="AZ104" s="55">
        <f t="shared" si="72"/>
        <v>4.110640330454671E-3</v>
      </c>
      <c r="BB104" s="58">
        <v>0.13554622783495923</v>
      </c>
      <c r="BC104" s="167">
        <v>1.3554622783495924E-4</v>
      </c>
      <c r="BD104" s="168">
        <v>62</v>
      </c>
      <c r="BE104" s="170">
        <v>7.0004204827643045E-3</v>
      </c>
      <c r="BF104" s="171">
        <v>4.110640330454671E-3</v>
      </c>
      <c r="BH104" s="81">
        <f t="shared" si="77"/>
        <v>328.77429411808981</v>
      </c>
      <c r="BI104" s="80">
        <v>328.77429411808981</v>
      </c>
      <c r="BK104" s="81">
        <f t="shared" si="78"/>
        <v>100.11564630970838</v>
      </c>
      <c r="BL104" s="81">
        <f t="shared" si="79"/>
        <v>62.154051863275782</v>
      </c>
      <c r="BM104" s="81">
        <f t="shared" si="80"/>
        <v>37.961594446432599</v>
      </c>
      <c r="BN104" s="192">
        <f t="shared" si="81"/>
        <v>0.37917743974801071</v>
      </c>
      <c r="BO104" s="81">
        <f t="shared" si="82"/>
        <v>62</v>
      </c>
      <c r="BP104" s="49">
        <f t="shared" si="83"/>
        <v>23.509001264376664</v>
      </c>
      <c r="BQ104" s="82">
        <f t="shared" si="84"/>
        <v>5719.0606266874174</v>
      </c>
      <c r="BS104" s="193">
        <v>5719.0606266874174</v>
      </c>
    </row>
    <row r="105" spans="1:71" x14ac:dyDescent="0.25">
      <c r="A105">
        <v>15</v>
      </c>
      <c r="C105" s="9" t="s">
        <v>52</v>
      </c>
      <c r="D105" s="10" t="s">
        <v>53</v>
      </c>
      <c r="E105" s="10" t="s">
        <v>54</v>
      </c>
      <c r="F105" s="33">
        <v>44368</v>
      </c>
      <c r="G105" s="29">
        <v>0.92013888888888884</v>
      </c>
      <c r="H105" s="28">
        <v>8</v>
      </c>
      <c r="I105" s="28">
        <v>67</v>
      </c>
      <c r="J105" s="28" t="s">
        <v>75</v>
      </c>
      <c r="K105" s="10">
        <v>533</v>
      </c>
      <c r="L105" s="47">
        <f t="shared" ref="L105:L110" si="85">+((101325*(1-(2.25577*10^-5)*(K105))^5.25588))</f>
        <v>95083.68775760736</v>
      </c>
      <c r="M105" s="10">
        <f t="shared" si="64"/>
        <v>0.9508368775760736</v>
      </c>
      <c r="N105" s="10" t="s">
        <v>15</v>
      </c>
      <c r="O105" s="10">
        <f>_xll.HumidairTdbRHPsi(H105,I105,M105,N105)</f>
        <v>4.7556029236102398E-3</v>
      </c>
      <c r="P105" s="48">
        <f t="shared" si="65"/>
        <v>4.7556029236102395</v>
      </c>
      <c r="Q105" s="31"/>
      <c r="R105" s="58">
        <v>4.7556029236102395</v>
      </c>
      <c r="S105" s="4"/>
      <c r="T105" s="10">
        <v>15</v>
      </c>
      <c r="U105" s="10" t="s">
        <v>144</v>
      </c>
      <c r="V105" s="78">
        <f>_xll.HumidairTdbRHPsi(H105, I105,M105,U105)</f>
        <v>2.2527407224111471</v>
      </c>
      <c r="W105" s="79">
        <v>2.2527407224111471</v>
      </c>
      <c r="X105" s="4"/>
      <c r="Y105" s="10">
        <v>15</v>
      </c>
      <c r="Z105" s="10" t="s">
        <v>145</v>
      </c>
      <c r="AA105" s="78">
        <f>_xll.HumidairTdbRHPsi(H105,I105,M105,Z105)</f>
        <v>20.023013152335611</v>
      </c>
      <c r="AB105" s="81">
        <f t="shared" si="74"/>
        <v>57.023013152335608</v>
      </c>
      <c r="AC105" s="80">
        <v>57.023013152335608</v>
      </c>
      <c r="AE105" s="10" t="s">
        <v>146</v>
      </c>
      <c r="AF105" s="78">
        <f>_xll.HumidairTdbRHPsi(H105,I105,M105,AE105)</f>
        <v>8.0634809296632657</v>
      </c>
      <c r="AG105" s="81">
        <f t="shared" si="75"/>
        <v>45.063480929663264</v>
      </c>
      <c r="AH105" s="80">
        <v>45.063480929663264</v>
      </c>
      <c r="AJ105" s="10" t="s">
        <v>150</v>
      </c>
      <c r="AK105" s="84">
        <f>_xll.HumidairTdbRHPsi(H105,I105,M105,AJ105)</f>
        <v>0.8483977961100122</v>
      </c>
      <c r="AL105" s="58">
        <v>0.8483977961100122</v>
      </c>
      <c r="AN105" s="48">
        <f t="shared" si="66"/>
        <v>0.50071310665603441</v>
      </c>
      <c r="AO105" s="81">
        <f t="shared" si="76"/>
        <v>9.4976601578698201</v>
      </c>
      <c r="AP105" s="81">
        <f t="shared" si="67"/>
        <v>23.20028216159886</v>
      </c>
      <c r="AR105" s="58">
        <v>0.50071310665603441</v>
      </c>
      <c r="AS105" s="80">
        <v>9.4976601578698201</v>
      </c>
      <c r="AT105" s="80">
        <v>23.20028216159886</v>
      </c>
      <c r="AU105" s="140"/>
      <c r="AV105" s="49">
        <f t="shared" si="68"/>
        <v>0.1342868933439656</v>
      </c>
      <c r="AW105" s="162">
        <f t="shared" si="69"/>
        <v>1.342868933439656E-4</v>
      </c>
      <c r="AX105" s="10">
        <f t="shared" si="70"/>
        <v>45</v>
      </c>
      <c r="AY105" s="55">
        <f t="shared" si="71"/>
        <v>5.03374419699855E-3</v>
      </c>
      <c r="AZ105" s="55">
        <f t="shared" si="72"/>
        <v>2.9558098631817672E-3</v>
      </c>
      <c r="BB105" s="58">
        <v>0.1342868933439656</v>
      </c>
      <c r="BC105" s="167">
        <v>1.342868933439656E-4</v>
      </c>
      <c r="BD105" s="168">
        <v>45</v>
      </c>
      <c r="BE105" s="170">
        <v>5.03374419699855E-3</v>
      </c>
      <c r="BF105" s="171">
        <v>2.9558098631817672E-3</v>
      </c>
      <c r="BH105" s="81">
        <f t="shared" si="77"/>
        <v>329.60327335783052</v>
      </c>
      <c r="BI105" s="80">
        <v>329.60327335783052</v>
      </c>
      <c r="BK105" s="81">
        <f t="shared" si="78"/>
        <v>57.023013152335608</v>
      </c>
      <c r="BL105" s="81">
        <f t="shared" si="79"/>
        <v>45.063480929663264</v>
      </c>
      <c r="BM105" s="81">
        <f t="shared" si="80"/>
        <v>11.959532222672344</v>
      </c>
      <c r="BN105" s="192">
        <f t="shared" si="81"/>
        <v>0.20973167781791435</v>
      </c>
      <c r="BO105" s="81">
        <f t="shared" si="82"/>
        <v>45</v>
      </c>
      <c r="BP105" s="49">
        <f t="shared" si="83"/>
        <v>9.437925501806145</v>
      </c>
      <c r="BQ105" s="82">
        <f t="shared" si="84"/>
        <v>3193.008325524273</v>
      </c>
      <c r="BS105" s="193">
        <v>3193.008325524273</v>
      </c>
    </row>
    <row r="106" spans="1:71" x14ac:dyDescent="0.25">
      <c r="A106">
        <v>16</v>
      </c>
      <c r="C106" s="9" t="s">
        <v>55</v>
      </c>
      <c r="D106" s="10" t="s">
        <v>56</v>
      </c>
      <c r="E106" s="11" t="s">
        <v>57</v>
      </c>
      <c r="F106" s="33">
        <v>44369</v>
      </c>
      <c r="G106" s="29">
        <v>0.17291666666666669</v>
      </c>
      <c r="H106" s="28">
        <v>21</v>
      </c>
      <c r="I106" s="28">
        <v>30</v>
      </c>
      <c r="J106" s="28" t="s">
        <v>88</v>
      </c>
      <c r="K106" s="10">
        <v>61</v>
      </c>
      <c r="L106" s="47">
        <f t="shared" si="85"/>
        <v>100594.34040699142</v>
      </c>
      <c r="M106" s="10">
        <f t="shared" si="64"/>
        <v>1.0059434040699142</v>
      </c>
      <c r="N106" s="10" t="s">
        <v>15</v>
      </c>
      <c r="O106" s="10">
        <f>_xll.HumidairTdbRHPsi(H106,I106,M106,N106)</f>
        <v>4.6679926701163393E-3</v>
      </c>
      <c r="P106" s="48">
        <f t="shared" si="65"/>
        <v>4.6679926701163392</v>
      </c>
      <c r="Q106" s="31"/>
      <c r="R106" s="58">
        <v>4.6679926701163392</v>
      </c>
      <c r="S106" s="4"/>
      <c r="T106" s="10">
        <v>16</v>
      </c>
      <c r="U106" s="10" t="s">
        <v>144</v>
      </c>
      <c r="V106" s="78">
        <f>_xll.HumidairTdbRHPsi(H106, I106,M106,U106)</f>
        <v>2.7825161087330912</v>
      </c>
      <c r="W106" s="79">
        <v>2.7825161087330912</v>
      </c>
      <c r="X106" s="4"/>
      <c r="Y106" s="10">
        <v>16</v>
      </c>
      <c r="Z106" s="10" t="s">
        <v>145</v>
      </c>
      <c r="AA106" s="78">
        <f>_xll.HumidairTdbRHPsi(H106,I106,M106,Z106)</f>
        <v>32.981276220709617</v>
      </c>
      <c r="AB106" s="81">
        <f t="shared" si="74"/>
        <v>69.981276220709617</v>
      </c>
      <c r="AC106" s="80">
        <v>69.981276220709617</v>
      </c>
      <c r="AE106" s="10" t="s">
        <v>146</v>
      </c>
      <c r="AF106" s="78">
        <f>_xll.HumidairTdbRHPsi(H106,I106,M106,AE106)</f>
        <v>21.128606014943504</v>
      </c>
      <c r="AG106" s="81">
        <f t="shared" si="75"/>
        <v>58.1286060149435</v>
      </c>
      <c r="AH106" s="80">
        <v>58.1286060149435</v>
      </c>
      <c r="AJ106" s="10" t="s">
        <v>150</v>
      </c>
      <c r="AK106" s="84">
        <f>_xll.HumidairTdbRHPsi(H106,I106,M106,AJ106)</f>
        <v>0.83909472406394281</v>
      </c>
      <c r="AL106" s="58">
        <v>0.83909472406394281</v>
      </c>
      <c r="AN106" s="48">
        <f t="shared" si="66"/>
        <v>0.50626453007944927</v>
      </c>
      <c r="AO106" s="81">
        <f t="shared" si="76"/>
        <v>9.2204616218793376</v>
      </c>
      <c r="AP106" s="81">
        <f t="shared" si="67"/>
        <v>22.523159149945037</v>
      </c>
      <c r="AR106" s="58">
        <v>0.50626453007944927</v>
      </c>
      <c r="AS106" s="80">
        <v>9.2204616218793376</v>
      </c>
      <c r="AT106" s="80">
        <v>22.523159149945037</v>
      </c>
      <c r="AU106" s="140"/>
      <c r="AV106" s="49">
        <f t="shared" si="68"/>
        <v>0.12873546992055074</v>
      </c>
      <c r="AW106" s="162">
        <f t="shared" si="69"/>
        <v>1.2873546992055073E-4</v>
      </c>
      <c r="AX106" s="10">
        <f t="shared" si="70"/>
        <v>58</v>
      </c>
      <c r="AY106" s="55">
        <f t="shared" si="71"/>
        <v>6.2197254937414875E-3</v>
      </c>
      <c r="AZ106" s="55">
        <f t="shared" si="72"/>
        <v>3.6522169663778551E-3</v>
      </c>
      <c r="BB106" s="58">
        <v>0.12873546992055074</v>
      </c>
      <c r="BC106" s="167">
        <v>1.2873546992055073E-4</v>
      </c>
      <c r="BD106" s="168">
        <v>58</v>
      </c>
      <c r="BE106" s="170">
        <v>6.2197254937414875E-3</v>
      </c>
      <c r="BF106" s="171">
        <v>3.6522169663778551E-3</v>
      </c>
      <c r="BH106" s="81">
        <f t="shared" si="77"/>
        <v>333.25759617828311</v>
      </c>
      <c r="BI106" s="80">
        <v>333.25759617828311</v>
      </c>
      <c r="BK106" s="81">
        <f t="shared" si="78"/>
        <v>69.981276220709617</v>
      </c>
      <c r="BL106" s="81">
        <f t="shared" si="79"/>
        <v>58.1286060149435</v>
      </c>
      <c r="BM106" s="81">
        <f t="shared" si="80"/>
        <v>11.852670205766117</v>
      </c>
      <c r="BN106" s="192">
        <f t="shared" si="81"/>
        <v>0.16936916337999772</v>
      </c>
      <c r="BO106" s="81">
        <f t="shared" si="82"/>
        <v>58</v>
      </c>
      <c r="BP106" s="49">
        <f t="shared" si="83"/>
        <v>9.8234114760398672</v>
      </c>
      <c r="BQ106" s="82">
        <f t="shared" si="84"/>
        <v>2689.7119110046719</v>
      </c>
      <c r="BS106" s="193">
        <v>2689.7119110046719</v>
      </c>
    </row>
    <row r="107" spans="1:71" x14ac:dyDescent="0.25">
      <c r="A107">
        <v>17</v>
      </c>
      <c r="B107" s="1" t="s">
        <v>58</v>
      </c>
      <c r="C107" s="15" t="s">
        <v>59</v>
      </c>
      <c r="D107" s="16" t="s">
        <v>60</v>
      </c>
      <c r="E107" s="4" t="s">
        <v>61</v>
      </c>
      <c r="F107" s="33">
        <v>44369</v>
      </c>
      <c r="G107" s="29">
        <v>0.50069444444444444</v>
      </c>
      <c r="H107" s="28">
        <v>5</v>
      </c>
      <c r="I107" s="28">
        <v>90</v>
      </c>
      <c r="J107" s="36" t="s">
        <v>85</v>
      </c>
      <c r="K107" s="10">
        <v>9</v>
      </c>
      <c r="L107" s="47">
        <f t="shared" si="85"/>
        <v>101216.9283556498</v>
      </c>
      <c r="M107" s="10">
        <f t="shared" si="64"/>
        <v>1.0121692835564979</v>
      </c>
      <c r="N107" s="10" t="s">
        <v>15</v>
      </c>
      <c r="O107" s="10">
        <f>_xll.HumidairTdbRHPsi(H107,I107,M107,N107)</f>
        <v>4.8822648229575067E-3</v>
      </c>
      <c r="P107" s="48">
        <f t="shared" si="65"/>
        <v>4.8822648229575067</v>
      </c>
      <c r="Q107" s="31"/>
      <c r="R107" s="58">
        <v>4.8822648229575067</v>
      </c>
      <c r="S107" s="4"/>
      <c r="T107" s="10">
        <v>17</v>
      </c>
      <c r="U107" s="10" t="s">
        <v>144</v>
      </c>
      <c r="V107" s="78">
        <f>_xll.HumidairTdbRHPsi(H107, I107,M107,U107)</f>
        <v>3.4984373080031332</v>
      </c>
      <c r="W107" s="79">
        <v>3.4984373080031332</v>
      </c>
      <c r="X107" s="4"/>
      <c r="Y107" s="10">
        <v>17</v>
      </c>
      <c r="Z107" s="10" t="s">
        <v>145</v>
      </c>
      <c r="AA107" s="78">
        <f>_xll.HumidairTdbRHPsi(H107,I107,M107,Z107)</f>
        <v>17.279781758108076</v>
      </c>
      <c r="AB107" s="81">
        <f t="shared" si="74"/>
        <v>54.279781758108072</v>
      </c>
      <c r="AC107" s="80">
        <v>54.279781758108072</v>
      </c>
      <c r="AE107" s="10" t="s">
        <v>146</v>
      </c>
      <c r="AF107" s="78">
        <f>_xll.HumidairTdbRHPsi(H107,I107,M107,AE107)</f>
        <v>5.0296417796015369</v>
      </c>
      <c r="AG107" s="81">
        <f t="shared" si="75"/>
        <v>42.029641779601533</v>
      </c>
      <c r="AH107" s="80">
        <v>42.029641779601533</v>
      </c>
      <c r="AJ107" s="10" t="s">
        <v>150</v>
      </c>
      <c r="AK107" s="84">
        <f>_xll.HumidairTdbRHPsi(H107,I107,M107,AJ107)</f>
        <v>0.78843363364869035</v>
      </c>
      <c r="AL107" s="58">
        <v>0.78843363364869035</v>
      </c>
      <c r="AN107" s="48">
        <f t="shared" si="66"/>
        <v>0.53879474192961796</v>
      </c>
      <c r="AO107" s="81">
        <f t="shared" si="76"/>
        <v>9.0614559553279204</v>
      </c>
      <c r="AP107" s="81">
        <f t="shared" si="67"/>
        <v>22.134750187319725</v>
      </c>
      <c r="AR107" s="58">
        <v>0.53879474192961796</v>
      </c>
      <c r="AS107" s="80">
        <v>9.0614559553279204</v>
      </c>
      <c r="AT107" s="80">
        <v>22.134750187319725</v>
      </c>
      <c r="AU107" s="140"/>
      <c r="AV107" s="49">
        <f t="shared" si="68"/>
        <v>9.6205258070382049E-2</v>
      </c>
      <c r="AW107" s="162">
        <f t="shared" si="69"/>
        <v>9.6205258070382045E-5</v>
      </c>
      <c r="AX107" s="10">
        <f t="shared" si="70"/>
        <v>42</v>
      </c>
      <c r="AY107" s="55">
        <f t="shared" si="71"/>
        <v>3.3658371588503864E-3</v>
      </c>
      <c r="AZ107" s="55">
        <f t="shared" si="72"/>
        <v>1.9764164174106789E-3</v>
      </c>
      <c r="BB107" s="58">
        <v>9.6205258070382049E-2</v>
      </c>
      <c r="BC107" s="167">
        <v>9.6205258070382045E-5</v>
      </c>
      <c r="BD107" s="168">
        <v>42</v>
      </c>
      <c r="BE107" s="170">
        <v>3.3658371588503864E-3</v>
      </c>
      <c r="BF107" s="171">
        <v>1.9764164174106789E-3</v>
      </c>
      <c r="BH107" s="81">
        <f t="shared" si="77"/>
        <v>354.67118445130762</v>
      </c>
      <c r="BI107" s="80">
        <v>354.67118445130762</v>
      </c>
      <c r="BK107" s="81">
        <f t="shared" si="78"/>
        <v>54.279781758108072</v>
      </c>
      <c r="BL107" s="81">
        <f t="shared" si="79"/>
        <v>42.029641779601533</v>
      </c>
      <c r="BM107" s="81">
        <f t="shared" si="80"/>
        <v>12.250139978506539</v>
      </c>
      <c r="BN107" s="192">
        <f t="shared" si="81"/>
        <v>0.22568513692810985</v>
      </c>
      <c r="BO107" s="81">
        <f t="shared" si="82"/>
        <v>42</v>
      </c>
      <c r="BP107" s="49">
        <f t="shared" si="83"/>
        <v>9.4787757509806134</v>
      </c>
      <c r="BQ107" s="82">
        <f t="shared" si="84"/>
        <v>4795.9406061799691</v>
      </c>
      <c r="BS107" s="193">
        <v>4795.9406061799691</v>
      </c>
    </row>
    <row r="108" spans="1:71" x14ac:dyDescent="0.25">
      <c r="A108">
        <v>18</v>
      </c>
      <c r="C108" s="9" t="s">
        <v>62</v>
      </c>
      <c r="D108" s="10" t="s">
        <v>63</v>
      </c>
      <c r="E108" s="11" t="s">
        <v>64</v>
      </c>
      <c r="F108" s="33">
        <v>44369</v>
      </c>
      <c r="G108" s="29">
        <v>0.58958333333333335</v>
      </c>
      <c r="H108" s="28">
        <v>8</v>
      </c>
      <c r="I108" s="28">
        <v>62</v>
      </c>
      <c r="J108" s="28" t="s">
        <v>108</v>
      </c>
      <c r="K108" s="10">
        <v>6</v>
      </c>
      <c r="L108" s="47">
        <f t="shared" si="85"/>
        <v>101252.94186124044</v>
      </c>
      <c r="M108" s="10">
        <f t="shared" si="64"/>
        <v>1.0125294186124043</v>
      </c>
      <c r="N108" s="10" t="s">
        <v>15</v>
      </c>
      <c r="O108" s="10">
        <f>_xll.HumidairTdbRHPsi(H108,I108,M108,N108)</f>
        <v>4.1292638336826266E-3</v>
      </c>
      <c r="P108" s="48">
        <f t="shared" si="65"/>
        <v>4.1292638336826268</v>
      </c>
      <c r="Q108" s="31"/>
      <c r="R108" s="58">
        <v>4.1292638336826268</v>
      </c>
      <c r="S108" s="4"/>
      <c r="T108" s="82">
        <v>18</v>
      </c>
      <c r="U108" s="10" t="s">
        <v>144</v>
      </c>
      <c r="V108" s="78">
        <f>_xll.HumidairTdbRHPsi(H108, I108,M108,U108)</f>
        <v>1.1698273151985177</v>
      </c>
      <c r="W108" s="79">
        <v>1.1698273151985177</v>
      </c>
      <c r="X108" s="4"/>
      <c r="Y108" s="82">
        <v>18</v>
      </c>
      <c r="Z108" s="10" t="s">
        <v>145</v>
      </c>
      <c r="AA108" s="78">
        <f>_xll.HumidairTdbRHPsi(H108,I108,M108,Z108)</f>
        <v>18.431663668344545</v>
      </c>
      <c r="AB108" s="81">
        <f t="shared" si="74"/>
        <v>55.431663668344541</v>
      </c>
      <c r="AC108" s="80">
        <v>55.431663668344541</v>
      </c>
      <c r="AE108" s="10" t="s">
        <v>146</v>
      </c>
      <c r="AF108" s="78">
        <f>_xll.HumidairTdbRHPsi(H108,I108,M108,AE108)</f>
        <v>8.0473693045741346</v>
      </c>
      <c r="AG108" s="81">
        <f t="shared" si="75"/>
        <v>45.047369304574133</v>
      </c>
      <c r="AH108" s="80">
        <v>45.047369304574133</v>
      </c>
      <c r="AJ108" s="10" t="s">
        <v>150</v>
      </c>
      <c r="AK108" s="84">
        <f>_xll.HumidairTdbRHPsi(H108,I108,M108,AJ108)</f>
        <v>0.79668220314932736</v>
      </c>
      <c r="AL108" s="58">
        <v>0.79668220314932736</v>
      </c>
      <c r="AN108" s="48">
        <f t="shared" si="66"/>
        <v>0.5332162492033895</v>
      </c>
      <c r="AO108" s="81">
        <f t="shared" si="76"/>
        <v>7.7440697650374197</v>
      </c>
      <c r="AP108" s="81">
        <f t="shared" si="67"/>
        <v>18.91672271292035</v>
      </c>
      <c r="AR108" s="58">
        <v>0.5332162492033895</v>
      </c>
      <c r="AS108" s="80">
        <v>7.7440697650374197</v>
      </c>
      <c r="AT108" s="80">
        <v>18.91672271292035</v>
      </c>
      <c r="AU108" s="140"/>
      <c r="AV108" s="49">
        <f t="shared" si="68"/>
        <v>0.10178375079661051</v>
      </c>
      <c r="AW108" s="162">
        <f t="shared" si="69"/>
        <v>1.0178375079661051E-4</v>
      </c>
      <c r="AX108" s="10">
        <f t="shared" si="70"/>
        <v>45</v>
      </c>
      <c r="AY108" s="55">
        <f t="shared" si="71"/>
        <v>3.8153638986109452E-3</v>
      </c>
      <c r="AZ108" s="55">
        <f t="shared" si="72"/>
        <v>2.2403780966593922E-3</v>
      </c>
      <c r="BB108" s="58">
        <v>0.10178375079661051</v>
      </c>
      <c r="BC108" s="167">
        <v>1.0178375079661051E-4</v>
      </c>
      <c r="BD108" s="168">
        <v>45</v>
      </c>
      <c r="BE108" s="170">
        <v>3.8153638986109452E-3</v>
      </c>
      <c r="BF108" s="171">
        <v>2.2403780966593922E-3</v>
      </c>
      <c r="BH108" s="81">
        <f t="shared" si="77"/>
        <v>350.99904278270367</v>
      </c>
      <c r="BI108" s="80">
        <v>350.99904278270367</v>
      </c>
      <c r="BK108" s="81">
        <f t="shared" si="78"/>
        <v>55.431663668344541</v>
      </c>
      <c r="BL108" s="81">
        <f t="shared" si="79"/>
        <v>45.047369304574133</v>
      </c>
      <c r="BM108" s="81">
        <f t="shared" si="80"/>
        <v>10.384294363770408</v>
      </c>
      <c r="BN108" s="192">
        <f t="shared" si="81"/>
        <v>0.18733506585516008</v>
      </c>
      <c r="BO108" s="81">
        <f t="shared" si="82"/>
        <v>45</v>
      </c>
      <c r="BP108" s="49">
        <f t="shared" si="83"/>
        <v>8.4300779634822032</v>
      </c>
      <c r="BQ108" s="82">
        <f t="shared" si="84"/>
        <v>3762.7925286594336</v>
      </c>
      <c r="BS108" s="193">
        <v>3762.7925286594336</v>
      </c>
    </row>
    <row r="109" spans="1:71" x14ac:dyDescent="0.25">
      <c r="A109" s="5">
        <v>19</v>
      </c>
      <c r="B109" s="14"/>
      <c r="C109" s="15" t="s">
        <v>65</v>
      </c>
      <c r="D109" s="16" t="s">
        <v>66</v>
      </c>
      <c r="E109" s="4" t="s">
        <v>67</v>
      </c>
      <c r="F109" s="33">
        <v>44368</v>
      </c>
      <c r="G109" s="29">
        <v>0.96180555555555547</v>
      </c>
      <c r="H109" s="28">
        <v>3</v>
      </c>
      <c r="I109" s="28">
        <v>93</v>
      </c>
      <c r="J109" s="28" t="s">
        <v>85</v>
      </c>
      <c r="K109" s="10">
        <v>15</v>
      </c>
      <c r="L109" s="47">
        <f t="shared" si="85"/>
        <v>101144.93246061618</v>
      </c>
      <c r="M109" s="10">
        <f t="shared" si="64"/>
        <v>1.0114493246061618</v>
      </c>
      <c r="N109" s="10" t="s">
        <v>15</v>
      </c>
      <c r="O109" s="10">
        <f>_xll.HumidairTdbRHPsi(H109,I109,M109,N109)</f>
        <v>4.3828199047036736E-3</v>
      </c>
      <c r="P109" s="48">
        <f t="shared" si="65"/>
        <v>4.3828199047036733</v>
      </c>
      <c r="Q109" s="31"/>
      <c r="R109" s="58">
        <v>4.3828199047036733</v>
      </c>
      <c r="S109" s="4"/>
      <c r="T109" s="82">
        <v>19</v>
      </c>
      <c r="U109" s="10" t="s">
        <v>144</v>
      </c>
      <c r="V109" s="78">
        <f>_xll.HumidairTdbRHPsi(H109, I109,M109,U109)</f>
        <v>1.980399117242996</v>
      </c>
      <c r="W109" s="79">
        <v>1.980399117242996</v>
      </c>
      <c r="X109" s="4"/>
      <c r="Y109" s="82">
        <v>19</v>
      </c>
      <c r="Z109" s="10" t="s">
        <v>145</v>
      </c>
      <c r="AA109" s="78">
        <f>_xll.HumidairTdbRHPsi(H109,I109,M109,Z109)</f>
        <v>13.998804714911333</v>
      </c>
      <c r="AB109" s="81">
        <f t="shared" si="74"/>
        <v>50.99880471491133</v>
      </c>
      <c r="AC109" s="80">
        <v>50.99880471491133</v>
      </c>
      <c r="AE109" s="10" t="s">
        <v>146</v>
      </c>
      <c r="AF109" s="78">
        <f>_xll.HumidairTdbRHPsi(H109,I109,M109,AE109)</f>
        <v>3.01804962212965</v>
      </c>
      <c r="AG109" s="81">
        <f t="shared" si="75"/>
        <v>40.018049622129652</v>
      </c>
      <c r="AH109" s="80">
        <v>40.018049622129652</v>
      </c>
      <c r="AJ109" s="10" t="s">
        <v>150</v>
      </c>
      <c r="AK109" s="84">
        <f>_xll.HumidairTdbRHPsi(H109,I109,M109,AJ109)</f>
        <v>0.78330263300624492</v>
      </c>
      <c r="AL109" s="58">
        <v>0.78330263300624492</v>
      </c>
      <c r="AN109" s="48">
        <f t="shared" si="66"/>
        <v>0.54232410089063288</v>
      </c>
      <c r="AO109" s="81">
        <f t="shared" si="76"/>
        <v>8.0815510457786743</v>
      </c>
      <c r="AP109" s="81">
        <f t="shared" si="67"/>
        <v>19.741100592030623</v>
      </c>
      <c r="AR109" s="58">
        <v>0.54232410089063288</v>
      </c>
      <c r="AS109" s="80">
        <v>8.0815510457786743</v>
      </c>
      <c r="AT109" s="80">
        <v>19.741100592030623</v>
      </c>
      <c r="AU109" s="140"/>
      <c r="AV109" s="49">
        <f t="shared" si="68"/>
        <v>9.2675899109367132E-2</v>
      </c>
      <c r="AW109" s="162">
        <f t="shared" si="69"/>
        <v>9.2675899109367134E-5</v>
      </c>
      <c r="AX109" s="10">
        <f t="shared" si="70"/>
        <v>40</v>
      </c>
      <c r="AY109" s="55">
        <f t="shared" si="71"/>
        <v>3.0879609583241126E-3</v>
      </c>
      <c r="AZ109" s="55">
        <f t="shared" si="72"/>
        <v>1.8132477735314813E-3</v>
      </c>
      <c r="BB109" s="58">
        <v>9.2675899109367132E-2</v>
      </c>
      <c r="BC109" s="167">
        <v>9.2675899109367134E-5</v>
      </c>
      <c r="BD109" s="168">
        <v>40</v>
      </c>
      <c r="BE109" s="170">
        <v>3.0879609583241126E-3</v>
      </c>
      <c r="BF109" s="171">
        <v>1.8132477735314813E-3</v>
      </c>
      <c r="BH109" s="81">
        <f t="shared" si="77"/>
        <v>356.99444751540869</v>
      </c>
      <c r="BI109" s="80">
        <v>356.99444751540869</v>
      </c>
      <c r="BK109" s="81">
        <f t="shared" si="78"/>
        <v>50.99880471491133</v>
      </c>
      <c r="BL109" s="81">
        <f t="shared" si="79"/>
        <v>40.018049622129652</v>
      </c>
      <c r="BM109" s="81">
        <f t="shared" si="80"/>
        <v>10.980755092781678</v>
      </c>
      <c r="BN109" s="192">
        <f t="shared" si="81"/>
        <v>0.2153139696933144</v>
      </c>
      <c r="BO109" s="81">
        <f t="shared" si="82"/>
        <v>40</v>
      </c>
      <c r="BP109" s="49">
        <f t="shared" si="83"/>
        <v>8.612558787732576</v>
      </c>
      <c r="BQ109" s="82">
        <f t="shared" si="84"/>
        <v>4749.796973945131</v>
      </c>
      <c r="BS109" s="193">
        <v>4749.796973945131</v>
      </c>
    </row>
    <row r="110" spans="1:71" x14ac:dyDescent="0.25">
      <c r="A110" s="5">
        <v>20</v>
      </c>
      <c r="B110" s="17" t="s">
        <v>68</v>
      </c>
      <c r="C110" s="9" t="s">
        <v>69</v>
      </c>
      <c r="D110" s="10" t="s">
        <v>70</v>
      </c>
      <c r="E110" s="18" t="s">
        <v>71</v>
      </c>
      <c r="F110" s="33">
        <v>44369</v>
      </c>
      <c r="G110" s="29">
        <v>0.58819444444444446</v>
      </c>
      <c r="H110" s="28">
        <v>-18</v>
      </c>
      <c r="I110" s="28">
        <v>38</v>
      </c>
      <c r="J110" s="28" t="s">
        <v>85</v>
      </c>
      <c r="K110" s="10">
        <v>10</v>
      </c>
      <c r="L110" s="47">
        <f t="shared" si="85"/>
        <v>101204.92615896827</v>
      </c>
      <c r="M110" s="10">
        <f t="shared" si="64"/>
        <v>1.0120492615896828</v>
      </c>
      <c r="N110" s="10" t="s">
        <v>15</v>
      </c>
      <c r="O110" s="55">
        <f>_xll.HumidairTdbRHPsi(H110,I110,M110,N110)</f>
        <v>2.93135369202486E-4</v>
      </c>
      <c r="P110" s="48">
        <f t="shared" si="65"/>
        <v>0.29313536920248601</v>
      </c>
      <c r="Q110" s="31"/>
      <c r="R110" s="58">
        <v>0.29313536920248601</v>
      </c>
      <c r="S110" s="4"/>
      <c r="T110" s="82">
        <v>20</v>
      </c>
      <c r="U110" s="10" t="s">
        <v>144</v>
      </c>
      <c r="V110" s="78">
        <f>_xll.HumidairTdbRHPsi(H110, I110,M110,U110)</f>
        <v>-27.849540516527099</v>
      </c>
      <c r="W110" s="79">
        <v>-27.849540516527099</v>
      </c>
      <c r="X110" s="4"/>
      <c r="Y110" s="82">
        <v>20</v>
      </c>
      <c r="Z110" s="10" t="s">
        <v>145</v>
      </c>
      <c r="AA110" s="78">
        <f>_xll.HumidairTdbRHPsi(H110,I110,M110,Z110)</f>
        <v>-17.379889321257245</v>
      </c>
      <c r="AB110" s="81">
        <f t="shared" si="74"/>
        <v>19.620110678742755</v>
      </c>
      <c r="AC110" s="80">
        <v>19.620110678742755</v>
      </c>
      <c r="AE110" s="10" t="s">
        <v>146</v>
      </c>
      <c r="AF110" s="78">
        <f>_xll.HumidairTdbRHPsi(H110,I110,M110,AE110)</f>
        <v>-18.10295427096117</v>
      </c>
      <c r="AG110" s="81">
        <f t="shared" si="75"/>
        <v>18.89704572903883</v>
      </c>
      <c r="AH110" s="80">
        <v>18.89704572903883</v>
      </c>
      <c r="AJ110" s="10" t="s">
        <v>150</v>
      </c>
      <c r="AK110" s="84">
        <f>_xll.HumidairTdbRHPsi(H110,I110,M110,AJ110)</f>
        <v>0.72308291960059978</v>
      </c>
      <c r="AL110" s="58">
        <v>0.72308291960059978</v>
      </c>
      <c r="AN110" s="48">
        <f t="shared" si="66"/>
        <v>0.58748987793131768</v>
      </c>
      <c r="AO110" s="81">
        <f t="shared" si="76"/>
        <v>0.49896241656908324</v>
      </c>
      <c r="AP110" s="81">
        <f t="shared" si="67"/>
        <v>1.2188337611600009</v>
      </c>
      <c r="AR110" s="58">
        <v>0.58748987793131768</v>
      </c>
      <c r="AS110" s="80">
        <v>0.49896241656908324</v>
      </c>
      <c r="AT110" s="80">
        <v>1.2188337611600009</v>
      </c>
      <c r="AU110" s="140"/>
      <c r="AV110" s="49">
        <f t="shared" si="68"/>
        <v>4.7510122068682326E-2</v>
      </c>
      <c r="AW110" s="162">
        <f t="shared" si="69"/>
        <v>4.7510122068682328E-5</v>
      </c>
      <c r="AX110" s="10">
        <f t="shared" si="70"/>
        <v>19</v>
      </c>
      <c r="AY110" s="55">
        <f t="shared" si="71"/>
        <v>7.5194270198103517E-4</v>
      </c>
      <c r="AZ110" s="55">
        <f t="shared" si="72"/>
        <v>4.4154004813918679E-4</v>
      </c>
      <c r="BB110" s="58">
        <v>4.7510122068682326E-2</v>
      </c>
      <c r="BC110" s="167">
        <v>4.7510122068682328E-5</v>
      </c>
      <c r="BD110" s="168">
        <v>19</v>
      </c>
      <c r="BE110" s="170">
        <v>7.5194270198103517E-4</v>
      </c>
      <c r="BF110" s="171">
        <v>4.4154004813918679E-4</v>
      </c>
      <c r="BH110" s="81">
        <f t="shared" si="77"/>
        <v>386.72562043352877</v>
      </c>
      <c r="BI110" s="80">
        <v>386.72562043352877</v>
      </c>
      <c r="BK110" s="81">
        <f t="shared" ref="BK110" si="86">+AB110</f>
        <v>19.620110678742755</v>
      </c>
      <c r="BL110" s="81">
        <f t="shared" ref="BL110" si="87">+AG110</f>
        <v>18.89704572903883</v>
      </c>
      <c r="BM110" s="81">
        <f t="shared" ref="BM110" si="88">+BK110-BL110</f>
        <v>0.72306494970392521</v>
      </c>
      <c r="BN110" s="192">
        <f t="shared" ref="BN110" si="89">+BM110/BK110</f>
        <v>3.685325539408521E-2</v>
      </c>
      <c r="BO110" s="81">
        <v>0</v>
      </c>
      <c r="BP110" s="49">
        <f t="shared" ref="BP110" si="90">+BN110*BO110*-1</f>
        <v>0</v>
      </c>
      <c r="BQ110" s="82"/>
      <c r="BS110" s="9"/>
    </row>
    <row r="111" spans="1:71" x14ac:dyDescent="0.25">
      <c r="AH111" s="4"/>
      <c r="AJ111" s="4"/>
      <c r="AK111" s="23"/>
      <c r="AL111" s="4"/>
    </row>
    <row r="112" spans="1:71" x14ac:dyDescent="0.25">
      <c r="AN112" s="4" t="s">
        <v>230</v>
      </c>
    </row>
    <row r="113" spans="1:71" x14ac:dyDescent="0.25">
      <c r="AH113" s="197"/>
      <c r="AK113" s="86" t="s">
        <v>155</v>
      </c>
      <c r="AN113" s="4">
        <v>416.65</v>
      </c>
      <c r="AO113" s="139" t="s">
        <v>231</v>
      </c>
      <c r="AX113" s="4" t="s">
        <v>192</v>
      </c>
      <c r="AY113" s="27" t="s">
        <v>271</v>
      </c>
      <c r="AZ113" s="86" t="s">
        <v>155</v>
      </c>
      <c r="BD113" s="70" t="s">
        <v>192</v>
      </c>
      <c r="BE113" s="70" t="s">
        <v>271</v>
      </c>
      <c r="BF113" s="83"/>
      <c r="BH113" s="174" t="s">
        <v>233</v>
      </c>
      <c r="BI113" s="70" t="s">
        <v>233</v>
      </c>
      <c r="BK113" s="86" t="s">
        <v>155</v>
      </c>
      <c r="BQ113" s="4"/>
      <c r="BS113" s="83"/>
    </row>
    <row r="114" spans="1:71" x14ac:dyDescent="0.25">
      <c r="K114" s="2"/>
      <c r="M114" s="30"/>
      <c r="N114" s="25"/>
      <c r="O114" s="25"/>
      <c r="R114" s="65" t="s">
        <v>109</v>
      </c>
      <c r="T114" s="69"/>
      <c r="Y114" t="s">
        <v>166</v>
      </c>
      <c r="AB114" s="4"/>
      <c r="AC114" s="57"/>
      <c r="AG114" s="4"/>
      <c r="AH114" s="57"/>
      <c r="AK114" s="26" t="s">
        <v>192</v>
      </c>
      <c r="AL114" s="70" t="s">
        <v>192</v>
      </c>
      <c r="AN114" s="4">
        <v>1.83299E-2</v>
      </c>
      <c r="AO114" s="139" t="s">
        <v>176</v>
      </c>
      <c r="AX114" s="4" t="s">
        <v>193</v>
      </c>
      <c r="AY114" s="16" t="s">
        <v>193</v>
      </c>
      <c r="AZ114" t="s">
        <v>284</v>
      </c>
      <c r="BD114" s="72" t="s">
        <v>193</v>
      </c>
      <c r="BE114" s="72" t="s">
        <v>193</v>
      </c>
      <c r="BF114" s="83"/>
      <c r="BH114" s="173" t="s">
        <v>255</v>
      </c>
      <c r="BI114" s="72" t="s">
        <v>255</v>
      </c>
      <c r="BQ114" s="27" t="s">
        <v>306</v>
      </c>
      <c r="BS114" s="70" t="s">
        <v>306</v>
      </c>
    </row>
    <row r="115" spans="1:71" x14ac:dyDescent="0.25">
      <c r="B115" s="39" t="s">
        <v>109</v>
      </c>
      <c r="C115" s="2"/>
      <c r="G115" s="51"/>
      <c r="I115" s="52"/>
      <c r="P115" s="27" t="s">
        <v>72</v>
      </c>
      <c r="R115" s="59" t="s">
        <v>72</v>
      </c>
      <c r="T115" t="s">
        <v>140</v>
      </c>
      <c r="AA115" s="71" t="s">
        <v>134</v>
      </c>
      <c r="AB115" s="27" t="s">
        <v>300</v>
      </c>
      <c r="AC115" s="70" t="s">
        <v>300</v>
      </c>
      <c r="AF115" s="71" t="s">
        <v>134</v>
      </c>
      <c r="AG115" s="26" t="s">
        <v>192</v>
      </c>
      <c r="AH115" s="70" t="s">
        <v>192</v>
      </c>
      <c r="AK115" s="15" t="s">
        <v>147</v>
      </c>
      <c r="AL115" s="72" t="s">
        <v>147</v>
      </c>
      <c r="AN115" s="4">
        <v>1.8405999999999999E-2</v>
      </c>
      <c r="AO115" t="s">
        <v>232</v>
      </c>
      <c r="AQ115" t="s">
        <v>187</v>
      </c>
      <c r="AS115" s="176" t="s">
        <v>315</v>
      </c>
      <c r="AT115" s="87" t="s">
        <v>317</v>
      </c>
      <c r="AV115" s="163" t="s">
        <v>270</v>
      </c>
      <c r="AX115" s="4">
        <v>0.83299999999999996</v>
      </c>
      <c r="AY115" s="16" t="s">
        <v>272</v>
      </c>
      <c r="AZ115" s="27" t="s">
        <v>274</v>
      </c>
      <c r="BB115" s="70" t="s">
        <v>270</v>
      </c>
      <c r="BD115" s="72">
        <v>0.83299999999999996</v>
      </c>
      <c r="BE115" s="72" t="s">
        <v>272</v>
      </c>
      <c r="BF115" s="70" t="s">
        <v>274</v>
      </c>
      <c r="BH115" s="173" t="s">
        <v>282</v>
      </c>
      <c r="BI115" s="72" t="s">
        <v>282</v>
      </c>
      <c r="BK115" s="27" t="s">
        <v>297</v>
      </c>
      <c r="BL115" s="27" t="s">
        <v>299</v>
      </c>
      <c r="BM115" s="26" t="s">
        <v>301</v>
      </c>
      <c r="BO115" s="163" t="s">
        <v>304</v>
      </c>
      <c r="BQ115" s="16" t="s">
        <v>291</v>
      </c>
      <c r="BS115" s="72" t="s">
        <v>291</v>
      </c>
    </row>
    <row r="116" spans="1:71" x14ac:dyDescent="0.25">
      <c r="G116" s="4" t="s">
        <v>0</v>
      </c>
      <c r="K116" s="4" t="s">
        <v>1</v>
      </c>
      <c r="L116" s="4" t="s">
        <v>2</v>
      </c>
      <c r="O116" s="4" t="s">
        <v>72</v>
      </c>
      <c r="P116" s="16" t="s">
        <v>81</v>
      </c>
      <c r="Q116" s="4"/>
      <c r="R116" s="57" t="s">
        <v>81</v>
      </c>
      <c r="V116" s="26" t="s">
        <v>310</v>
      </c>
      <c r="W116" s="87" t="s">
        <v>310</v>
      </c>
      <c r="AA116" s="73" t="s">
        <v>141</v>
      </c>
      <c r="AB116" s="16" t="s">
        <v>141</v>
      </c>
      <c r="AC116" s="72" t="s">
        <v>141</v>
      </c>
      <c r="AF116" s="42" t="s">
        <v>141</v>
      </c>
      <c r="AG116" s="15" t="s">
        <v>147</v>
      </c>
      <c r="AH116" s="72" t="s">
        <v>147</v>
      </c>
      <c r="AK116" s="15" t="s">
        <v>148</v>
      </c>
      <c r="AL116" s="72" t="s">
        <v>148</v>
      </c>
      <c r="AN116" s="27" t="s">
        <v>235</v>
      </c>
      <c r="AO116" s="27" t="s">
        <v>233</v>
      </c>
      <c r="AP116" s="27" t="s">
        <v>233</v>
      </c>
      <c r="AR116" s="176" t="s">
        <v>320</v>
      </c>
      <c r="AS116" s="199" t="s">
        <v>316</v>
      </c>
      <c r="AT116" s="72" t="s">
        <v>318</v>
      </c>
      <c r="AV116" s="73" t="s">
        <v>275</v>
      </c>
      <c r="AW116" s="163" t="s">
        <v>270</v>
      </c>
      <c r="AY116" s="16" t="s">
        <v>251</v>
      </c>
      <c r="AZ116" s="16">
        <v>1.7030000000000001</v>
      </c>
      <c r="BB116" s="72" t="s">
        <v>275</v>
      </c>
      <c r="BC116" s="176" t="s">
        <v>270</v>
      </c>
      <c r="BD116" s="74"/>
      <c r="BE116" s="72" t="s">
        <v>251</v>
      </c>
      <c r="BF116" s="72">
        <v>1.7030000000000001</v>
      </c>
      <c r="BH116" s="173" t="s">
        <v>187</v>
      </c>
      <c r="BI116" s="72" t="s">
        <v>187</v>
      </c>
      <c r="BK116" s="16" t="s">
        <v>298</v>
      </c>
      <c r="BL116" s="16" t="s">
        <v>298</v>
      </c>
      <c r="BM116" s="16" t="s">
        <v>300</v>
      </c>
      <c r="BO116" s="16" t="s">
        <v>303</v>
      </c>
      <c r="BP116" s="161" t="s">
        <v>296</v>
      </c>
      <c r="BQ116" s="16" t="s">
        <v>292</v>
      </c>
      <c r="BS116" s="72" t="s">
        <v>292</v>
      </c>
    </row>
    <row r="117" spans="1:71" ht="17.25" x14ac:dyDescent="0.25">
      <c r="A117" s="5"/>
      <c r="B117" s="5"/>
      <c r="C117" t="s">
        <v>3</v>
      </c>
      <c r="D117" t="s">
        <v>4</v>
      </c>
      <c r="E117" t="s">
        <v>5</v>
      </c>
      <c r="F117" s="4" t="s">
        <v>6</v>
      </c>
      <c r="G117" s="6" t="s">
        <v>7</v>
      </c>
      <c r="H117" s="4" t="s">
        <v>98</v>
      </c>
      <c r="I117" s="4" t="s">
        <v>99</v>
      </c>
      <c r="J117" s="4" t="s">
        <v>74</v>
      </c>
      <c r="K117" s="7" t="s">
        <v>163</v>
      </c>
      <c r="L117" s="7" t="s">
        <v>8</v>
      </c>
      <c r="M117" s="4" t="s">
        <v>9</v>
      </c>
      <c r="N117" s="4" t="s">
        <v>10</v>
      </c>
      <c r="O117" s="4" t="s">
        <v>11</v>
      </c>
      <c r="P117" s="13" t="s">
        <v>82</v>
      </c>
      <c r="Q117" s="4"/>
      <c r="R117" s="57" t="s">
        <v>82</v>
      </c>
      <c r="S117" s="4"/>
      <c r="T117" s="10" t="s">
        <v>142</v>
      </c>
      <c r="U117" s="18" t="s">
        <v>10</v>
      </c>
      <c r="V117" s="13" t="s">
        <v>273</v>
      </c>
      <c r="W117" s="77" t="s">
        <v>311</v>
      </c>
      <c r="X117" s="4"/>
      <c r="Y117" s="10" t="s">
        <v>142</v>
      </c>
      <c r="Z117" s="18" t="s">
        <v>10</v>
      </c>
      <c r="AA117" s="76" t="s">
        <v>143</v>
      </c>
      <c r="AB117" s="13" t="s">
        <v>312</v>
      </c>
      <c r="AC117" s="72" t="s">
        <v>312</v>
      </c>
      <c r="AE117" s="9" t="s">
        <v>10</v>
      </c>
      <c r="AF117" s="76" t="s">
        <v>82</v>
      </c>
      <c r="AG117" s="15" t="s">
        <v>148</v>
      </c>
      <c r="AH117" s="72" t="s">
        <v>148</v>
      </c>
      <c r="AJ117" s="32" t="s">
        <v>10</v>
      </c>
      <c r="AK117" s="12" t="s">
        <v>149</v>
      </c>
      <c r="AL117" s="77" t="s">
        <v>149</v>
      </c>
      <c r="AN117" s="13" t="s">
        <v>230</v>
      </c>
      <c r="AO117" s="13" t="s">
        <v>177</v>
      </c>
      <c r="AP117" s="13" t="s">
        <v>234</v>
      </c>
      <c r="AR117" s="177" t="s">
        <v>321</v>
      </c>
      <c r="AS117" s="177" t="s">
        <v>232</v>
      </c>
      <c r="AT117" s="77" t="s">
        <v>319</v>
      </c>
      <c r="AV117" s="166" t="s">
        <v>149</v>
      </c>
      <c r="AW117" s="13" t="s">
        <v>276</v>
      </c>
      <c r="AX117" s="164" t="s">
        <v>186</v>
      </c>
      <c r="AY117" s="13" t="s">
        <v>82</v>
      </c>
      <c r="AZ117" s="13" t="s">
        <v>273</v>
      </c>
      <c r="BB117" s="77" t="s">
        <v>149</v>
      </c>
      <c r="BC117" s="177" t="s">
        <v>276</v>
      </c>
      <c r="BD117" s="77" t="s">
        <v>186</v>
      </c>
      <c r="BE117" s="77" t="s">
        <v>82</v>
      </c>
      <c r="BF117" s="77" t="s">
        <v>277</v>
      </c>
      <c r="BH117" s="175">
        <v>418</v>
      </c>
      <c r="BI117" s="77">
        <v>418</v>
      </c>
      <c r="BK117" s="13" t="s">
        <v>250</v>
      </c>
      <c r="BL117" s="13" t="s">
        <v>250</v>
      </c>
      <c r="BM117" s="13" t="s">
        <v>295</v>
      </c>
      <c r="BN117" s="18" t="s">
        <v>302</v>
      </c>
      <c r="BO117" s="13" t="s">
        <v>189</v>
      </c>
      <c r="BP117" s="76" t="s">
        <v>277</v>
      </c>
      <c r="BQ117" s="13" t="s">
        <v>305</v>
      </c>
      <c r="BS117" s="77" t="s">
        <v>305</v>
      </c>
    </row>
    <row r="118" spans="1:71" x14ac:dyDescent="0.25">
      <c r="A118">
        <v>1</v>
      </c>
      <c r="C118" s="9" t="s">
        <v>12</v>
      </c>
      <c r="D118" s="10" t="s">
        <v>13</v>
      </c>
      <c r="E118" s="32" t="s">
        <v>14</v>
      </c>
      <c r="F118" s="33">
        <v>44398</v>
      </c>
      <c r="G118" s="29">
        <v>0.8027777777777777</v>
      </c>
      <c r="H118" s="28">
        <v>4</v>
      </c>
      <c r="I118" s="28">
        <v>93</v>
      </c>
      <c r="J118" s="28" t="s">
        <v>85</v>
      </c>
      <c r="K118" s="10">
        <v>32</v>
      </c>
      <c r="L118" s="47">
        <f>+((101325*(1-(2.25577*10^-5)*(K118))^5.25588))</f>
        <v>100941.16925190832</v>
      </c>
      <c r="M118" s="10">
        <f t="shared" ref="M118:M137" si="91">+L118/100000</f>
        <v>1.0094116925190832</v>
      </c>
      <c r="N118" s="10" t="s">
        <v>15</v>
      </c>
      <c r="O118" s="10">
        <f>_xll.HumidairTdbRHPsi(H118,I118,M118,N118)</f>
        <v>4.7153683526694849E-3</v>
      </c>
      <c r="P118" s="49">
        <f t="shared" ref="P118:P137" si="92">+O118*1000</f>
        <v>4.7153683526694845</v>
      </c>
      <c r="Q118" s="31"/>
      <c r="R118" s="58">
        <v>4.7153683526694845</v>
      </c>
      <c r="S118" s="4"/>
      <c r="T118" s="10">
        <v>1</v>
      </c>
      <c r="U118" s="10" t="s">
        <v>144</v>
      </c>
      <c r="V118" s="78">
        <f>_xll.HumidairTdbRHPsi(H118, I118,M118,U118)</f>
        <v>2.972117639145381</v>
      </c>
      <c r="W118" s="79">
        <v>2.972117639145381</v>
      </c>
      <c r="X118" s="4"/>
      <c r="Y118" s="10">
        <v>1</v>
      </c>
      <c r="Z118" s="10" t="s">
        <v>145</v>
      </c>
      <c r="AA118" s="78">
        <f>_xll.HumidairTdbRHPsi(H118,I118,M118,Z118)</f>
        <v>15.847107491235397</v>
      </c>
      <c r="AB118" s="78">
        <f>+AA118+37</f>
        <v>52.847107491235398</v>
      </c>
      <c r="AC118" s="80">
        <v>52.847107491235398</v>
      </c>
      <c r="AE118" s="10" t="s">
        <v>146</v>
      </c>
      <c r="AF118" s="78">
        <f>_xll.HumidairTdbRHPsi(H118,I118,M118,AE118)</f>
        <v>4.0244811216248184</v>
      </c>
      <c r="AG118" s="12" t="s">
        <v>149</v>
      </c>
      <c r="AH118" s="77" t="s">
        <v>149</v>
      </c>
      <c r="AJ118" s="10" t="s">
        <v>150</v>
      </c>
      <c r="AK118" s="84">
        <f>_xll.HumidairTdbRHPsi(H118,I118,M118,AJ118)</f>
        <v>0.78773671016967206</v>
      </c>
      <c r="AL118" s="58">
        <v>0.78773671016967206</v>
      </c>
      <c r="AN118" s="48">
        <f t="shared" ref="AN118:AN137" si="93">+$AN$6*($AL$57/AL118)</f>
        <v>0.53927142240061132</v>
      </c>
      <c r="AO118" s="81">
        <f>+R118/AN118</f>
        <v>8.7439611238411867</v>
      </c>
      <c r="AP118" s="81">
        <f t="shared" ref="AP118:AP137" si="94">+AO118*(44.0059/18.015)</f>
        <v>21.359193939475038</v>
      </c>
      <c r="AR118" s="58">
        <v>0.53927142240061132</v>
      </c>
      <c r="AS118" s="80">
        <v>8.7439611238411867</v>
      </c>
      <c r="AT118" s="80">
        <v>21.359193939475038</v>
      </c>
      <c r="AU118" s="140"/>
      <c r="AV118" s="84">
        <f t="shared" ref="AV118:AV137" si="95">+$AN$57-AN118</f>
        <v>9.5728577599388687E-2</v>
      </c>
      <c r="AW118" s="165">
        <f t="shared" ref="AW118:AW137" si="96">+AV118/1000</f>
        <v>9.572857759938869E-5</v>
      </c>
      <c r="AX118" s="10">
        <f t="shared" ref="AX118:AX137" si="97">37+H118</f>
        <v>41</v>
      </c>
      <c r="AY118" s="55">
        <f t="shared" ref="AY118:AY137" si="98">+AW118*AX118*$AX$9</f>
        <v>3.2694181107519216E-3</v>
      </c>
      <c r="AZ118" s="55">
        <f t="shared" ref="AZ118:AZ137" si="99">+AY118/1.703</f>
        <v>1.9197992429547395E-3</v>
      </c>
      <c r="BB118" s="58">
        <v>9.5728577599388687E-2</v>
      </c>
      <c r="BC118" s="167">
        <v>9.572857759938869E-5</v>
      </c>
      <c r="BD118" s="168">
        <v>41</v>
      </c>
      <c r="BE118" s="168">
        <v>3.2694181107519216E-3</v>
      </c>
      <c r="BF118" s="169">
        <v>1.9197992429547395E-3</v>
      </c>
      <c r="BH118" s="81">
        <f>418*($AL$57/AL118)</f>
        <v>354.98496781646537</v>
      </c>
      <c r="BI118" s="80">
        <v>354.98496781646537</v>
      </c>
      <c r="BK118" s="81">
        <f>+AB118</f>
        <v>52.847107491235398</v>
      </c>
      <c r="BL118" s="81" t="str">
        <f>+AG118</f>
        <v>kg dry air</v>
      </c>
      <c r="BM118" s="81" t="e">
        <f>+BK118-BL118</f>
        <v>#VALUE!</v>
      </c>
      <c r="BN118" s="192" t="e">
        <f>+BM118/BK118</f>
        <v>#VALUE!</v>
      </c>
      <c r="BO118" s="81">
        <f>+H118-$H$57</f>
        <v>41</v>
      </c>
      <c r="BP118" s="49" t="e">
        <f>+BN118*BO118</f>
        <v>#VALUE!</v>
      </c>
      <c r="BQ118" s="82" t="e">
        <f>+BP118/AZ118</f>
        <v>#VALUE!</v>
      </c>
      <c r="BS118" s="193">
        <v>4777.7209838967319</v>
      </c>
    </row>
    <row r="119" spans="1:71" x14ac:dyDescent="0.25">
      <c r="A119">
        <v>2</v>
      </c>
      <c r="B119" s="1" t="s">
        <v>16</v>
      </c>
      <c r="C119" s="12" t="s">
        <v>17</v>
      </c>
      <c r="D119" s="13" t="s">
        <v>18</v>
      </c>
      <c r="E119" s="11" t="s">
        <v>19</v>
      </c>
      <c r="F119" s="33">
        <v>44399</v>
      </c>
      <c r="G119" s="29">
        <v>0.34375</v>
      </c>
      <c r="H119" s="28">
        <v>6</v>
      </c>
      <c r="I119" s="28">
        <v>100</v>
      </c>
      <c r="J119" s="28" t="s">
        <v>85</v>
      </c>
      <c r="K119" s="10">
        <v>41</v>
      </c>
      <c r="L119" s="47">
        <f t="shared" ref="L119:L127" si="100">+((101325*(1-(2.25577*10^-5)*(K119))^5.25588))</f>
        <v>100833.42925724134</v>
      </c>
      <c r="M119" s="10">
        <f t="shared" si="91"/>
        <v>1.0083342925724135</v>
      </c>
      <c r="N119" s="10" t="s">
        <v>15</v>
      </c>
      <c r="O119" s="10">
        <f>_xll.HumidairTdbRHPsi(H119,I119,M119,N119)</f>
        <v>5.8459625260787341E-3</v>
      </c>
      <c r="P119" s="49">
        <f t="shared" si="92"/>
        <v>5.8459625260787345</v>
      </c>
      <c r="Q119" s="31"/>
      <c r="R119" s="58">
        <v>5.8459625260787345</v>
      </c>
      <c r="S119" s="4"/>
      <c r="T119" s="10">
        <v>2</v>
      </c>
      <c r="U119" s="10" t="s">
        <v>144</v>
      </c>
      <c r="V119" s="78">
        <f>_xll.HumidairTdbRHPsi(H119, I119,M119,U119)</f>
        <v>6</v>
      </c>
      <c r="W119" s="79">
        <v>6</v>
      </c>
      <c r="X119" s="4"/>
      <c r="Y119" s="10">
        <v>2</v>
      </c>
      <c r="Z119" s="10" t="s">
        <v>145</v>
      </c>
      <c r="AA119" s="78">
        <f>_xll.HumidairTdbRHPsi(H119,I119,M119,Z119)</f>
        <v>20.715213484452207</v>
      </c>
      <c r="AB119" s="81">
        <f t="shared" ref="AB119:AB137" si="101">+AA119+37</f>
        <v>57.715213484452207</v>
      </c>
      <c r="AC119" s="80">
        <v>57.715213484452207</v>
      </c>
      <c r="AE119" s="10" t="s">
        <v>146</v>
      </c>
      <c r="AF119" s="78">
        <f>_xll.HumidairTdbRHPsi(H119,I119,M119,AE119)</f>
        <v>6.0365792456445035</v>
      </c>
      <c r="AG119" s="81">
        <f t="shared" ref="AG119:AG137" si="102">+AF119+37</f>
        <v>43.036579245644504</v>
      </c>
      <c r="AH119" s="80">
        <v>43.036579245644504</v>
      </c>
      <c r="AJ119" s="10" t="s">
        <v>150</v>
      </c>
      <c r="AK119" s="84">
        <f>_xll.HumidairTdbRHPsi(H119,I119,M119,AJ119)</f>
        <v>0.79428874588061149</v>
      </c>
      <c r="AL119" s="58">
        <v>0.79428874588061149</v>
      </c>
      <c r="AN119" s="48">
        <f t="shared" si="93"/>
        <v>0.53482300784635417</v>
      </c>
      <c r="AO119" s="81">
        <f t="shared" ref="AO119:AO137" si="103">+R119/AN119</f>
        <v>10.93064890685889</v>
      </c>
      <c r="AP119" s="81">
        <f t="shared" si="94"/>
        <v>26.700696238153846</v>
      </c>
      <c r="AR119" s="58">
        <v>0.53482300784635417</v>
      </c>
      <c r="AS119" s="80">
        <v>10.93064890685889</v>
      </c>
      <c r="AT119" s="80">
        <v>26.700696238153846</v>
      </c>
      <c r="AU119" s="140"/>
      <c r="AV119" s="49">
        <f t="shared" si="95"/>
        <v>0.10017699215364584</v>
      </c>
      <c r="AW119" s="162">
        <f t="shared" si="96"/>
        <v>1.0017699215364583E-4</v>
      </c>
      <c r="AX119" s="10">
        <f t="shared" si="97"/>
        <v>43</v>
      </c>
      <c r="AY119" s="55">
        <f t="shared" si="98"/>
        <v>3.5882396819514398E-3</v>
      </c>
      <c r="AZ119" s="55">
        <f t="shared" si="99"/>
        <v>2.1070109700243333E-3</v>
      </c>
      <c r="BB119" s="58">
        <v>0.10017699215364584</v>
      </c>
      <c r="BC119" s="167">
        <v>1.0017699215364583E-4</v>
      </c>
      <c r="BD119" s="168">
        <v>43</v>
      </c>
      <c r="BE119" s="170">
        <v>3.5882396819514398E-3</v>
      </c>
      <c r="BF119" s="169">
        <v>2.1070109700243333E-3</v>
      </c>
      <c r="BH119" s="81">
        <f t="shared" ref="BH119:BH137" si="104">418*($AL$57/AL119)</f>
        <v>352.05672012563156</v>
      </c>
      <c r="BI119" s="80">
        <v>352.05672012563156</v>
      </c>
      <c r="BK119" s="81">
        <f t="shared" ref="BK119:BK136" si="105">+AB119</f>
        <v>57.715213484452207</v>
      </c>
      <c r="BL119" s="81">
        <f t="shared" ref="BL119:BL136" si="106">+AG119</f>
        <v>43.036579245644504</v>
      </c>
      <c r="BM119" s="81">
        <f t="shared" ref="BM119:BM136" si="107">+BK119-BL119</f>
        <v>14.678634238807703</v>
      </c>
      <c r="BN119" s="192">
        <f t="shared" ref="BN119:BN136" si="108">+BM119/BK119</f>
        <v>0.25432868307351841</v>
      </c>
      <c r="BO119" s="81">
        <f t="shared" ref="BO119:BO136" si="109">+H119-$H$57</f>
        <v>43</v>
      </c>
      <c r="BP119" s="49">
        <f t="shared" ref="BP119:BP136" si="110">+BN119*BO119</f>
        <v>10.936133372161292</v>
      </c>
      <c r="BQ119" s="82">
        <f t="shared" ref="BQ119:BQ136" si="111">+BP119/AZ119</f>
        <v>5190.3542638104982</v>
      </c>
      <c r="BS119" s="193">
        <v>5190.3542638104982</v>
      </c>
    </row>
    <row r="120" spans="1:71" x14ac:dyDescent="0.25">
      <c r="A120">
        <v>3</v>
      </c>
      <c r="C120" s="12" t="s">
        <v>20</v>
      </c>
      <c r="D120" s="10" t="s">
        <v>21</v>
      </c>
      <c r="E120" s="11" t="s">
        <v>22</v>
      </c>
      <c r="F120" s="33">
        <v>44399</v>
      </c>
      <c r="G120" s="29">
        <v>4.3750000000000004E-2</v>
      </c>
      <c r="H120" s="28">
        <v>9</v>
      </c>
      <c r="I120" s="28">
        <v>61</v>
      </c>
      <c r="J120" s="28" t="s">
        <v>85</v>
      </c>
      <c r="K120" s="10">
        <v>15</v>
      </c>
      <c r="L120" s="47">
        <f t="shared" si="100"/>
        <v>101144.93246061618</v>
      </c>
      <c r="M120" s="10">
        <f t="shared" si="91"/>
        <v>1.0114493246061618</v>
      </c>
      <c r="N120" s="10" t="s">
        <v>15</v>
      </c>
      <c r="O120" s="10">
        <f>_xll.HumidairTdbRHPsi(H120,I120,M120,N120)</f>
        <v>4.3538985791472399E-3</v>
      </c>
      <c r="P120" s="49">
        <f t="shared" si="92"/>
        <v>4.3538985791472395</v>
      </c>
      <c r="Q120" s="31"/>
      <c r="R120" s="58">
        <v>4.3538985791472395</v>
      </c>
      <c r="S120" s="4"/>
      <c r="T120" s="10">
        <v>3</v>
      </c>
      <c r="U120" s="10" t="s">
        <v>144</v>
      </c>
      <c r="V120" s="78">
        <f>_xll.HumidairTdbRHPsi(H120, I120,M120,U120)</f>
        <v>1.8884459307901125</v>
      </c>
      <c r="W120" s="79">
        <v>1.8884459307901125</v>
      </c>
      <c r="X120" s="4"/>
      <c r="Y120" s="10">
        <v>3</v>
      </c>
      <c r="Z120" s="10" t="s">
        <v>145</v>
      </c>
      <c r="AA120" s="78">
        <f>_xll.HumidairTdbRHPsi(H120,I120,M120,Z120)</f>
        <v>20.010917716855566</v>
      </c>
      <c r="AB120" s="81">
        <f t="shared" si="101"/>
        <v>57.010917716855566</v>
      </c>
      <c r="AC120" s="80">
        <v>57.010917716855566</v>
      </c>
      <c r="AE120" s="10" t="s">
        <v>146</v>
      </c>
      <c r="AF120" s="78">
        <f>_xll.HumidairTdbRHPsi(H120,I120,M120,AE120)</f>
        <v>9.0536311272999175</v>
      </c>
      <c r="AG120" s="81">
        <f t="shared" si="102"/>
        <v>46.053631127299916</v>
      </c>
      <c r="AH120" s="80">
        <v>46.053631127299916</v>
      </c>
      <c r="AJ120" s="10" t="s">
        <v>150</v>
      </c>
      <c r="AK120" s="84">
        <f>_xll.HumidairTdbRHPsi(H120,I120,M120,AJ120)</f>
        <v>0.80037930191425866</v>
      </c>
      <c r="AL120" s="58">
        <v>0.80037930191425866</v>
      </c>
      <c r="AN120" s="48">
        <f t="shared" si="93"/>
        <v>0.53075322556989935</v>
      </c>
      <c r="AO120" s="81">
        <f t="shared" si="103"/>
        <v>8.2032446896054481</v>
      </c>
      <c r="AP120" s="81">
        <f t="shared" si="94"/>
        <v>20.038366110813673</v>
      </c>
      <c r="AR120" s="58">
        <v>0.53075322556989935</v>
      </c>
      <c r="AS120" s="80">
        <v>8.2032446896054481</v>
      </c>
      <c r="AT120" s="80">
        <v>20.038366110813673</v>
      </c>
      <c r="AU120" s="140"/>
      <c r="AV120" s="49">
        <f t="shared" si="95"/>
        <v>0.10424677443010066</v>
      </c>
      <c r="AW120" s="162">
        <f t="shared" si="96"/>
        <v>1.0424677443010066E-4</v>
      </c>
      <c r="AX120" s="10">
        <f t="shared" si="97"/>
        <v>46</v>
      </c>
      <c r="AY120" s="55">
        <f t="shared" si="98"/>
        <v>3.994527902612597E-3</v>
      </c>
      <c r="AZ120" s="55">
        <f t="shared" si="99"/>
        <v>2.3455830314812664E-3</v>
      </c>
      <c r="BB120" s="58">
        <v>0.10424677443010066</v>
      </c>
      <c r="BC120" s="167">
        <v>1.0424677443010066E-4</v>
      </c>
      <c r="BD120" s="168">
        <v>46</v>
      </c>
      <c r="BE120" s="170">
        <v>3.994527902612597E-3</v>
      </c>
      <c r="BF120" s="171">
        <v>2.3455830314812664E-3</v>
      </c>
      <c r="BH120" s="81">
        <f t="shared" si="104"/>
        <v>349.37771383971329</v>
      </c>
      <c r="BI120" s="80">
        <v>349.37771383971329</v>
      </c>
      <c r="BK120" s="81">
        <f t="shared" si="105"/>
        <v>57.010917716855566</v>
      </c>
      <c r="BL120" s="81">
        <f t="shared" si="106"/>
        <v>46.053631127299916</v>
      </c>
      <c r="BM120" s="81">
        <f t="shared" si="107"/>
        <v>10.95728658955565</v>
      </c>
      <c r="BN120" s="192">
        <f t="shared" si="108"/>
        <v>0.19219628499886562</v>
      </c>
      <c r="BO120" s="81">
        <f t="shared" si="109"/>
        <v>46</v>
      </c>
      <c r="BP120" s="49">
        <f t="shared" si="110"/>
        <v>8.8410291099478187</v>
      </c>
      <c r="BQ120" s="82">
        <f t="shared" si="111"/>
        <v>3769.2245344922167</v>
      </c>
      <c r="BS120" s="193">
        <v>3769.2245344922167</v>
      </c>
    </row>
    <row r="121" spans="1:71" x14ac:dyDescent="0.25">
      <c r="A121" s="5">
        <v>4</v>
      </c>
      <c r="B121" s="14"/>
      <c r="C121" s="12" t="s">
        <v>23</v>
      </c>
      <c r="D121" s="10" t="s">
        <v>24</v>
      </c>
      <c r="E121" s="11" t="s">
        <v>25</v>
      </c>
      <c r="F121" s="33">
        <v>44398</v>
      </c>
      <c r="G121" s="29">
        <v>0.71805555555555556</v>
      </c>
      <c r="H121" s="28">
        <v>30</v>
      </c>
      <c r="I121" s="28">
        <v>34</v>
      </c>
      <c r="J121" s="28" t="s">
        <v>86</v>
      </c>
      <c r="K121" s="10">
        <v>26</v>
      </c>
      <c r="L121" s="47">
        <f t="shared" si="100"/>
        <v>101013.04768769341</v>
      </c>
      <c r="M121" s="10">
        <f t="shared" si="91"/>
        <v>1.0101304768769341</v>
      </c>
      <c r="N121" s="10" t="s">
        <v>15</v>
      </c>
      <c r="O121" s="10">
        <f>_xll.HumidairTdbRHPsi(H121,I121,M121,N121)</f>
        <v>9.0578537391311879E-3</v>
      </c>
      <c r="P121" s="49">
        <f t="shared" si="92"/>
        <v>9.057853739131188</v>
      </c>
      <c r="Q121" s="31"/>
      <c r="R121" s="58">
        <v>9.057853739131188</v>
      </c>
      <c r="S121" s="4"/>
      <c r="T121" s="10">
        <v>4</v>
      </c>
      <c r="U121" s="10" t="s">
        <v>144</v>
      </c>
      <c r="V121" s="78">
        <f>_xll.HumidairTdbRHPsi(H121, I121,M121,U121)</f>
        <v>12.444362896029531</v>
      </c>
      <c r="W121" s="79">
        <v>12.444362896029531</v>
      </c>
      <c r="X121" s="4"/>
      <c r="Y121" s="10">
        <v>4</v>
      </c>
      <c r="Z121" s="10" t="s">
        <v>145</v>
      </c>
      <c r="AA121" s="78">
        <f>_xll.HumidairTdbRHPsi(H121,I121,M121,Z121)</f>
        <v>53.335372852280628</v>
      </c>
      <c r="AB121" s="81">
        <f t="shared" si="101"/>
        <v>90.335372852280628</v>
      </c>
      <c r="AC121" s="80">
        <v>90.335372852280628</v>
      </c>
      <c r="AE121" s="10" t="s">
        <v>146</v>
      </c>
      <c r="AF121" s="78">
        <f>_xll.HumidairTdbRHPsi(H121,I121,M121,AE121)</f>
        <v>30.185707907878587</v>
      </c>
      <c r="AG121" s="81">
        <f t="shared" si="102"/>
        <v>67.185707907878594</v>
      </c>
      <c r="AH121" s="80">
        <v>67.185707907878594</v>
      </c>
      <c r="AJ121" s="10" t="s">
        <v>150</v>
      </c>
      <c r="AK121" s="84">
        <f>_xll.HumidairTdbRHPsi(H121,I121,M121,AJ121)</f>
        <v>0.86125274367699589</v>
      </c>
      <c r="AL121" s="58">
        <v>0.86125274367699589</v>
      </c>
      <c r="AN121" s="48">
        <f t="shared" si="93"/>
        <v>0.49323952729222947</v>
      </c>
      <c r="AO121" s="81">
        <f t="shared" si="103"/>
        <v>18.364006203753991</v>
      </c>
      <c r="AP121" s="81">
        <f t="shared" si="94"/>
        <v>44.858430230462261</v>
      </c>
      <c r="AR121" s="58">
        <v>0.49323952729222947</v>
      </c>
      <c r="AS121" s="80">
        <v>18.364006203753991</v>
      </c>
      <c r="AT121" s="80">
        <v>44.858430230462261</v>
      </c>
      <c r="AU121" s="140"/>
      <c r="AV121" s="49">
        <f t="shared" si="95"/>
        <v>0.14176047270777054</v>
      </c>
      <c r="AW121" s="162">
        <f t="shared" si="96"/>
        <v>1.4176047270777055E-4</v>
      </c>
      <c r="AX121" s="10">
        <f t="shared" si="97"/>
        <v>67</v>
      </c>
      <c r="AY121" s="55">
        <f t="shared" si="98"/>
        <v>7.9117937422933816E-3</v>
      </c>
      <c r="AZ121" s="55">
        <f t="shared" si="99"/>
        <v>4.6457978521981099E-3</v>
      </c>
      <c r="BB121" s="58">
        <v>0.14176047270777054</v>
      </c>
      <c r="BC121" s="167">
        <v>1.4176047270777055E-4</v>
      </c>
      <c r="BD121" s="168">
        <v>67</v>
      </c>
      <c r="BE121" s="170">
        <v>7.9117937422933816E-3</v>
      </c>
      <c r="BF121" s="171">
        <v>4.6457978521981099E-3</v>
      </c>
      <c r="BH121" s="81">
        <f t="shared" si="104"/>
        <v>324.68365733567231</v>
      </c>
      <c r="BI121" s="80">
        <v>324.68365733567231</v>
      </c>
      <c r="BK121" s="81">
        <f t="shared" si="105"/>
        <v>90.335372852280628</v>
      </c>
      <c r="BL121" s="81">
        <f t="shared" si="106"/>
        <v>67.185707907878594</v>
      </c>
      <c r="BM121" s="81">
        <f t="shared" si="107"/>
        <v>23.149664944402033</v>
      </c>
      <c r="BN121" s="192">
        <f t="shared" si="108"/>
        <v>0.2562635677859782</v>
      </c>
      <c r="BO121" s="81">
        <f t="shared" si="109"/>
        <v>67</v>
      </c>
      <c r="BP121" s="49">
        <f t="shared" si="110"/>
        <v>17.169659041660537</v>
      </c>
      <c r="BQ121" s="82">
        <f t="shared" si="111"/>
        <v>3695.7395883113804</v>
      </c>
      <c r="BS121" s="193">
        <v>3695.7395883113804</v>
      </c>
    </row>
    <row r="122" spans="1:71" x14ac:dyDescent="0.25">
      <c r="A122">
        <v>5</v>
      </c>
      <c r="C122" s="9" t="s">
        <v>26</v>
      </c>
      <c r="D122" s="10" t="s">
        <v>27</v>
      </c>
      <c r="E122" s="11" t="s">
        <v>28</v>
      </c>
      <c r="F122" s="33">
        <v>44399</v>
      </c>
      <c r="G122" s="29">
        <v>0.29305555555555557</v>
      </c>
      <c r="H122" s="28">
        <v>28</v>
      </c>
      <c r="I122" s="28">
        <v>15</v>
      </c>
      <c r="J122" s="28" t="s">
        <v>110</v>
      </c>
      <c r="K122" s="10">
        <v>356</v>
      </c>
      <c r="L122" s="47">
        <f t="shared" si="100"/>
        <v>97120.766933102874</v>
      </c>
      <c r="M122" s="10">
        <f t="shared" si="91"/>
        <v>0.97120766933102876</v>
      </c>
      <c r="N122" s="10" t="s">
        <v>15</v>
      </c>
      <c r="O122" s="10">
        <f>_xll.HumidairTdbRHPsi(H122,I122,M122,N122)</f>
        <v>3.6699834381294059E-3</v>
      </c>
      <c r="P122" s="49">
        <f t="shared" si="92"/>
        <v>3.6699834381294059</v>
      </c>
      <c r="Q122" s="31"/>
      <c r="R122" s="58">
        <v>3.6699834381294059</v>
      </c>
      <c r="S122" s="4"/>
      <c r="T122" s="10">
        <v>5</v>
      </c>
      <c r="U122" s="10" t="s">
        <v>144</v>
      </c>
      <c r="V122" s="78">
        <f>_xll.HumidairTdbRHPsi(H122, I122,M122,U122)</f>
        <v>-0.89710107599626099</v>
      </c>
      <c r="W122" s="79">
        <v>-0.89710107599626099</v>
      </c>
      <c r="X122" s="4"/>
      <c r="Y122" s="10">
        <v>5</v>
      </c>
      <c r="Z122" s="10" t="s">
        <v>145</v>
      </c>
      <c r="AA122" s="78">
        <f>_xll.HumidairTdbRHPsi(H122,I122,M122,Z122)</f>
        <v>37.548421322371482</v>
      </c>
      <c r="AB122" s="81">
        <f t="shared" si="101"/>
        <v>74.548421322371482</v>
      </c>
      <c r="AC122" s="80">
        <v>74.548421322371482</v>
      </c>
      <c r="AE122" s="10" t="s">
        <v>146</v>
      </c>
      <c r="AF122" s="78">
        <f>_xll.HumidairTdbRHPsi(H122,I122,M122,AE122)</f>
        <v>28.181328914543439</v>
      </c>
      <c r="AG122" s="81">
        <f t="shared" si="102"/>
        <v>65.181328914543442</v>
      </c>
      <c r="AH122" s="80">
        <v>65.181328914543442</v>
      </c>
      <c r="AJ122" s="10" t="s">
        <v>150</v>
      </c>
      <c r="AK122" s="84">
        <f>_xll.HumidairTdbRHPsi(H122,I122,M122,AJ122)</f>
        <v>0.88985340973248872</v>
      </c>
      <c r="AL122" s="58">
        <v>0.88985340973248872</v>
      </c>
      <c r="AN122" s="48">
        <f t="shared" si="93"/>
        <v>0.47738637794070304</v>
      </c>
      <c r="AO122" s="81">
        <f t="shared" si="103"/>
        <v>7.6876584831778771</v>
      </c>
      <c r="AP122" s="81">
        <f t="shared" si="94"/>
        <v>18.778924809596298</v>
      </c>
      <c r="AR122" s="58">
        <v>0.47738637794070304</v>
      </c>
      <c r="AS122" s="80">
        <v>7.6876584831778771</v>
      </c>
      <c r="AT122" s="80">
        <v>18.778924809596298</v>
      </c>
      <c r="AU122" s="140"/>
      <c r="AV122" s="49">
        <f t="shared" si="95"/>
        <v>0.15761362205929697</v>
      </c>
      <c r="AW122" s="162">
        <f t="shared" si="96"/>
        <v>1.5761362205929697E-4</v>
      </c>
      <c r="AX122" s="10">
        <f t="shared" si="97"/>
        <v>65</v>
      </c>
      <c r="AY122" s="55">
        <f t="shared" si="98"/>
        <v>8.5339895664006352E-3</v>
      </c>
      <c r="AZ122" s="55">
        <f t="shared" si="99"/>
        <v>5.0111506555494036E-3</v>
      </c>
      <c r="BB122" s="58">
        <v>0.15761362205929697</v>
      </c>
      <c r="BC122" s="167">
        <v>1.5761362205929697E-4</v>
      </c>
      <c r="BD122" s="168">
        <v>65</v>
      </c>
      <c r="BE122" s="170">
        <v>8.5339895664006352E-3</v>
      </c>
      <c r="BF122" s="171">
        <v>5.0111506555494036E-3</v>
      </c>
      <c r="BH122" s="81">
        <f t="shared" si="104"/>
        <v>314.24804091214781</v>
      </c>
      <c r="BI122" s="80">
        <v>314.24804091214781</v>
      </c>
      <c r="BK122" s="81">
        <f t="shared" si="105"/>
        <v>74.548421322371482</v>
      </c>
      <c r="BL122" s="81">
        <f t="shared" si="106"/>
        <v>65.181328914543442</v>
      </c>
      <c r="BM122" s="81">
        <f t="shared" si="107"/>
        <v>9.3670924078280393</v>
      </c>
      <c r="BN122" s="192">
        <f t="shared" si="108"/>
        <v>0.12565111697431797</v>
      </c>
      <c r="BO122" s="81">
        <f t="shared" si="109"/>
        <v>65</v>
      </c>
      <c r="BP122" s="49">
        <f t="shared" si="110"/>
        <v>8.1673226033306676</v>
      </c>
      <c r="BQ122" s="82">
        <f t="shared" si="111"/>
        <v>1629.8297865553263</v>
      </c>
      <c r="BS122" s="193">
        <v>1629.8297865553263</v>
      </c>
    </row>
    <row r="123" spans="1:71" x14ac:dyDescent="0.25">
      <c r="A123">
        <v>6</v>
      </c>
      <c r="C123" s="9" t="s">
        <v>29</v>
      </c>
      <c r="D123" s="10" t="s">
        <v>30</v>
      </c>
      <c r="E123" s="11" t="s">
        <v>31</v>
      </c>
      <c r="F123" s="33">
        <v>44398</v>
      </c>
      <c r="G123" s="34">
        <v>0.67013888888888884</v>
      </c>
      <c r="H123" s="28">
        <v>22</v>
      </c>
      <c r="I123" s="28">
        <v>45</v>
      </c>
      <c r="J123" s="28" t="s">
        <v>75</v>
      </c>
      <c r="K123" s="10">
        <v>2</v>
      </c>
      <c r="L123" s="47">
        <f t="shared" si="100"/>
        <v>101300.97600813</v>
      </c>
      <c r="M123" s="10">
        <f t="shared" si="91"/>
        <v>1.0130097600812999</v>
      </c>
      <c r="N123" s="10" t="s">
        <v>15</v>
      </c>
      <c r="O123" s="10">
        <f>_xll.HumidairTdbRHPsi(H123,I123,M123,N123)</f>
        <v>7.4250563334878764E-3</v>
      </c>
      <c r="P123" s="49">
        <f t="shared" si="92"/>
        <v>7.4250563334878761</v>
      </c>
      <c r="Q123" s="31"/>
      <c r="R123" s="58">
        <v>7.4250563334878761</v>
      </c>
      <c r="S123" s="4"/>
      <c r="T123" s="10">
        <v>6</v>
      </c>
      <c r="U123" s="10" t="s">
        <v>144</v>
      </c>
      <c r="V123" s="78">
        <f>_xll.HumidairTdbRHPsi(H123, I123,M123,U123)</f>
        <v>9.5361936821542486</v>
      </c>
      <c r="W123" s="79">
        <v>9.5361936821542486</v>
      </c>
      <c r="X123" s="4"/>
      <c r="Y123" s="10">
        <v>6</v>
      </c>
      <c r="Z123" s="10" t="s">
        <v>145</v>
      </c>
      <c r="AA123" s="78">
        <f>_xll.HumidairTdbRHPsi(H123,I123,M123,Z123)</f>
        <v>40.998981191015972</v>
      </c>
      <c r="AB123" s="81">
        <f t="shared" si="101"/>
        <v>77.998981191015972</v>
      </c>
      <c r="AC123" s="80">
        <v>77.998981191015972</v>
      </c>
      <c r="AE123" s="10" t="s">
        <v>146</v>
      </c>
      <c r="AF123" s="78">
        <f>_xll.HumidairTdbRHPsi(H123,I123,M123,AE123)</f>
        <v>22.133253783250389</v>
      </c>
      <c r="AG123" s="81">
        <f t="shared" si="102"/>
        <v>59.133253783250389</v>
      </c>
      <c r="AH123" s="80">
        <v>59.133253783250389</v>
      </c>
      <c r="AJ123" s="10" t="s">
        <v>150</v>
      </c>
      <c r="AK123" s="84">
        <f>_xll.HumidairTdbRHPsi(H123,I123,M123,AJ123)</f>
        <v>0.83608026704823113</v>
      </c>
      <c r="AL123" s="58">
        <v>0.83608026704823113</v>
      </c>
      <c r="AN123" s="48">
        <f t="shared" si="93"/>
        <v>0.50808984844259142</v>
      </c>
      <c r="AO123" s="81">
        <f t="shared" si="103"/>
        <v>14.613667949177351</v>
      </c>
      <c r="AP123" s="81">
        <f t="shared" si="94"/>
        <v>35.697341682192814</v>
      </c>
      <c r="AR123" s="58">
        <v>0.50808984844259142</v>
      </c>
      <c r="AS123" s="80">
        <v>14.613667949177351</v>
      </c>
      <c r="AT123" s="80">
        <v>35.697341682192814</v>
      </c>
      <c r="AU123" s="140"/>
      <c r="AV123" s="49">
        <f t="shared" si="95"/>
        <v>0.12691015155740859</v>
      </c>
      <c r="AW123" s="162">
        <f t="shared" si="96"/>
        <v>1.2691015155740859E-4</v>
      </c>
      <c r="AX123" s="10">
        <f t="shared" si="97"/>
        <v>59</v>
      </c>
      <c r="AY123" s="55">
        <f t="shared" si="98"/>
        <v>6.2372532185919604E-3</v>
      </c>
      <c r="AZ123" s="55">
        <f t="shared" si="99"/>
        <v>3.662509229942431E-3</v>
      </c>
      <c r="BB123" s="58">
        <v>0.12691015155740859</v>
      </c>
      <c r="BC123" s="167">
        <v>1.2691015155740859E-4</v>
      </c>
      <c r="BD123" s="168">
        <v>59</v>
      </c>
      <c r="BE123" s="170">
        <v>6.2372532185919604E-3</v>
      </c>
      <c r="BF123" s="171">
        <v>3.662509229942431E-3</v>
      </c>
      <c r="BH123" s="81">
        <f t="shared" si="104"/>
        <v>334.45914432913895</v>
      </c>
      <c r="BI123" s="80">
        <v>334.45914432913895</v>
      </c>
      <c r="BK123" s="81">
        <f t="shared" si="105"/>
        <v>77.998981191015972</v>
      </c>
      <c r="BL123" s="81">
        <f t="shared" si="106"/>
        <v>59.133253783250389</v>
      </c>
      <c r="BM123" s="81">
        <f t="shared" si="107"/>
        <v>18.865727407765583</v>
      </c>
      <c r="BN123" s="192">
        <f t="shared" si="108"/>
        <v>0.24187145934078641</v>
      </c>
      <c r="BO123" s="81">
        <f t="shared" si="109"/>
        <v>59</v>
      </c>
      <c r="BP123" s="49">
        <f t="shared" si="110"/>
        <v>14.270416101106399</v>
      </c>
      <c r="BQ123" s="82">
        <f t="shared" si="111"/>
        <v>3896.3495257405011</v>
      </c>
      <c r="BS123" s="193">
        <v>3896.3495257405011</v>
      </c>
    </row>
    <row r="124" spans="1:71" x14ac:dyDescent="0.25">
      <c r="A124">
        <v>7</v>
      </c>
      <c r="B124" s="1" t="s">
        <v>32</v>
      </c>
      <c r="C124" s="9" t="s">
        <v>33</v>
      </c>
      <c r="D124" s="10" t="s">
        <v>34</v>
      </c>
      <c r="E124" s="11" t="s">
        <v>35</v>
      </c>
      <c r="F124" s="33">
        <v>44399</v>
      </c>
      <c r="G124" s="29">
        <v>5.0694444444444452E-2</v>
      </c>
      <c r="H124" s="28">
        <v>24</v>
      </c>
      <c r="I124" s="28">
        <v>77</v>
      </c>
      <c r="J124" s="28" t="s">
        <v>87</v>
      </c>
      <c r="K124" s="10">
        <v>126</v>
      </c>
      <c r="L124" s="47">
        <f t="shared" si="100"/>
        <v>99820.46987859541</v>
      </c>
      <c r="M124" s="10">
        <f t="shared" si="91"/>
        <v>0.99820469878595408</v>
      </c>
      <c r="N124" s="10" t="s">
        <v>15</v>
      </c>
      <c r="O124" s="10">
        <f>_xll.HumidairTdbRHPsi(H124,I124,M124,N124)</f>
        <v>1.4721734563166016E-2</v>
      </c>
      <c r="P124" s="49">
        <f t="shared" si="92"/>
        <v>14.721734563166017</v>
      </c>
      <c r="Q124" s="31"/>
      <c r="R124" s="58">
        <v>14.721734563166017</v>
      </c>
      <c r="S124" s="4"/>
      <c r="T124" s="10">
        <v>7</v>
      </c>
      <c r="U124" s="10" t="s">
        <v>144</v>
      </c>
      <c r="V124" s="78">
        <f>_xll.HumidairTdbRHPsi(H124, I124,M124,U124)</f>
        <v>19.721660487137058</v>
      </c>
      <c r="W124" s="79">
        <v>19.721660487137058</v>
      </c>
      <c r="X124" s="4"/>
      <c r="Y124" s="10">
        <v>7</v>
      </c>
      <c r="Z124" s="10" t="s">
        <v>145</v>
      </c>
      <c r="AA124" s="78">
        <f>_xll.HumidairTdbRHPsi(H124,I124,M124,Z124)</f>
        <v>61.603620830789552</v>
      </c>
      <c r="AB124" s="81">
        <f t="shared" si="101"/>
        <v>98.603620830789552</v>
      </c>
      <c r="AC124" s="80">
        <v>98.603620830789552</v>
      </c>
      <c r="AE124" s="10" t="s">
        <v>146</v>
      </c>
      <c r="AF124" s="78">
        <f>_xll.HumidairTdbRHPsi(H124,I124,M124,AE124)</f>
        <v>24.149437803281831</v>
      </c>
      <c r="AG124" s="81">
        <f t="shared" si="102"/>
        <v>61.149437803281828</v>
      </c>
      <c r="AH124" s="80">
        <v>61.149437803281828</v>
      </c>
      <c r="AJ124" s="10" t="s">
        <v>150</v>
      </c>
      <c r="AK124" s="84">
        <f>_xll.HumidairTdbRHPsi(H124,I124,M124,AJ124)</f>
        <v>0.8542502748981895</v>
      </c>
      <c r="AL124" s="58">
        <v>0.8542502748981895</v>
      </c>
      <c r="AN124" s="48">
        <f t="shared" si="93"/>
        <v>0.49728271521013639</v>
      </c>
      <c r="AO124" s="81">
        <f t="shared" si="103"/>
        <v>29.604356059198768</v>
      </c>
      <c r="AP124" s="81">
        <f t="shared" si="94"/>
        <v>72.315644313377447</v>
      </c>
      <c r="AR124" s="58">
        <v>0.49728271521013639</v>
      </c>
      <c r="AS124" s="80">
        <v>29.604356059198768</v>
      </c>
      <c r="AT124" s="80">
        <v>72.315644313377447</v>
      </c>
      <c r="AU124" s="140"/>
      <c r="AV124" s="49">
        <f t="shared" si="95"/>
        <v>0.13771728478986361</v>
      </c>
      <c r="AW124" s="162">
        <f t="shared" si="96"/>
        <v>1.377172847898636E-4</v>
      </c>
      <c r="AX124" s="10">
        <f t="shared" si="97"/>
        <v>61</v>
      </c>
      <c r="AY124" s="55">
        <f t="shared" si="98"/>
        <v>6.9978283920273388E-3</v>
      </c>
      <c r="AZ124" s="55">
        <f t="shared" si="99"/>
        <v>4.1091182572092419E-3</v>
      </c>
      <c r="BB124" s="58">
        <v>0.13771728478986361</v>
      </c>
      <c r="BC124" s="167">
        <v>1.377172847898636E-4</v>
      </c>
      <c r="BD124" s="168">
        <v>61</v>
      </c>
      <c r="BE124" s="170">
        <v>6.9978283920273388E-3</v>
      </c>
      <c r="BF124" s="171">
        <v>4.1091182572092419E-3</v>
      </c>
      <c r="BH124" s="81">
        <f t="shared" si="104"/>
        <v>327.34515741391658</v>
      </c>
      <c r="BI124" s="80">
        <v>327.34515741391658</v>
      </c>
      <c r="BK124" s="81">
        <f t="shared" si="105"/>
        <v>98.603620830789552</v>
      </c>
      <c r="BL124" s="81">
        <f t="shared" si="106"/>
        <v>61.149437803281828</v>
      </c>
      <c r="BM124" s="81">
        <f t="shared" si="107"/>
        <v>37.454183027507725</v>
      </c>
      <c r="BN124" s="192">
        <f t="shared" si="108"/>
        <v>0.37984591957106345</v>
      </c>
      <c r="BO124" s="81">
        <f t="shared" si="109"/>
        <v>61</v>
      </c>
      <c r="BP124" s="49">
        <f t="shared" si="110"/>
        <v>23.170601093834872</v>
      </c>
      <c r="BQ124" s="82">
        <f t="shared" si="111"/>
        <v>5638.8255687660521</v>
      </c>
      <c r="BS124" s="193">
        <v>5638.8255687660521</v>
      </c>
    </row>
    <row r="125" spans="1:71" x14ac:dyDescent="0.25">
      <c r="A125">
        <v>8</v>
      </c>
      <c r="C125" s="9" t="s">
        <v>36</v>
      </c>
      <c r="D125" s="10" t="s">
        <v>37</v>
      </c>
      <c r="E125" s="11" t="s">
        <v>38</v>
      </c>
      <c r="F125" s="33">
        <v>44399</v>
      </c>
      <c r="G125" s="29">
        <v>0.3</v>
      </c>
      <c r="H125" s="28">
        <v>25</v>
      </c>
      <c r="I125" s="28">
        <v>90</v>
      </c>
      <c r="J125" s="28" t="s">
        <v>85</v>
      </c>
      <c r="K125" s="10">
        <v>143</v>
      </c>
      <c r="L125" s="47">
        <f t="shared" si="100"/>
        <v>99618.87034335341</v>
      </c>
      <c r="M125" s="10">
        <f t="shared" si="91"/>
        <v>0.99618870343353405</v>
      </c>
      <c r="N125" s="10" t="s">
        <v>15</v>
      </c>
      <c r="O125" s="10">
        <f>_xll.HumidairTdbRHPsi(H125,I125,M125,N125)</f>
        <v>1.8411838928389546E-2</v>
      </c>
      <c r="P125" s="49">
        <f t="shared" si="92"/>
        <v>18.411838928389546</v>
      </c>
      <c r="Q125" s="31"/>
      <c r="R125" s="58">
        <v>18.411838928389546</v>
      </c>
      <c r="S125" s="4"/>
      <c r="T125" s="10">
        <v>8</v>
      </c>
      <c r="U125" s="10" t="s">
        <v>144</v>
      </c>
      <c r="V125" s="78">
        <f>_xll.HumidairTdbRHPsi(H125, I125,M125,U125)</f>
        <v>23.245225455677542</v>
      </c>
      <c r="W125" s="79">
        <v>23.245225455677542</v>
      </c>
      <c r="X125" s="4"/>
      <c r="Y125" s="10">
        <v>8</v>
      </c>
      <c r="Z125" s="10" t="s">
        <v>145</v>
      </c>
      <c r="AA125" s="78">
        <f>_xll.HumidairTdbRHPsi(H125,I125,M125,Z125)</f>
        <v>72.029377442265073</v>
      </c>
      <c r="AB125" s="81">
        <f t="shared" si="101"/>
        <v>109.02937744226507</v>
      </c>
      <c r="AC125" s="80">
        <v>109.02937744226507</v>
      </c>
      <c r="AE125" s="10" t="s">
        <v>146</v>
      </c>
      <c r="AF125" s="78">
        <f>_xll.HumidairTdbRHPsi(H125,I125,M125,AE125)</f>
        <v>25.156300505073027</v>
      </c>
      <c r="AG125" s="81">
        <f t="shared" si="102"/>
        <v>62.156300505073027</v>
      </c>
      <c r="AH125" s="80">
        <v>62.156300505073027</v>
      </c>
      <c r="AJ125" s="10" t="s">
        <v>150</v>
      </c>
      <c r="AK125" s="84">
        <f>_xll.HumidairTdbRHPsi(H125,I125,M125,AJ125)</f>
        <v>0.85886798463646796</v>
      </c>
      <c r="AL125" s="58">
        <v>0.85886798463646796</v>
      </c>
      <c r="AN125" s="48">
        <f t="shared" si="93"/>
        <v>0.49460907120689024</v>
      </c>
      <c r="AO125" s="81">
        <f t="shared" si="103"/>
        <v>37.225032859714879</v>
      </c>
      <c r="AP125" s="81">
        <f t="shared" si="94"/>
        <v>90.930950514644834</v>
      </c>
      <c r="AR125" s="58">
        <v>0.49460907120689024</v>
      </c>
      <c r="AS125" s="80">
        <v>37.225032859714879</v>
      </c>
      <c r="AT125" s="80">
        <v>90.930950514644834</v>
      </c>
      <c r="AU125" s="140"/>
      <c r="AV125" s="49">
        <f t="shared" si="95"/>
        <v>0.14039092879310977</v>
      </c>
      <c r="AW125" s="162">
        <f t="shared" si="96"/>
        <v>1.4039092879310978E-4</v>
      </c>
      <c r="AX125" s="10">
        <f t="shared" si="97"/>
        <v>62</v>
      </c>
      <c r="AY125" s="55">
        <f t="shared" si="98"/>
        <v>7.2506299084489469E-3</v>
      </c>
      <c r="AZ125" s="55">
        <f t="shared" si="99"/>
        <v>4.2575630701403092E-3</v>
      </c>
      <c r="BB125" s="58">
        <v>0.14039092879310977</v>
      </c>
      <c r="BC125" s="167">
        <v>1.4039092879310978E-4</v>
      </c>
      <c r="BD125" s="168">
        <v>62</v>
      </c>
      <c r="BE125" s="170">
        <v>7.2506299084489469E-3</v>
      </c>
      <c r="BF125" s="171">
        <v>4.2575630701403092E-3</v>
      </c>
      <c r="BH125" s="81">
        <f t="shared" si="104"/>
        <v>325.58518388107109</v>
      </c>
      <c r="BI125" s="80">
        <v>325.58518388107109</v>
      </c>
      <c r="BK125" s="81">
        <f t="shared" si="105"/>
        <v>109.02937744226507</v>
      </c>
      <c r="BL125" s="81">
        <f t="shared" si="106"/>
        <v>62.156300505073027</v>
      </c>
      <c r="BM125" s="81">
        <f t="shared" si="107"/>
        <v>46.873076937192046</v>
      </c>
      <c r="BN125" s="192">
        <f t="shared" si="108"/>
        <v>0.42991235974004349</v>
      </c>
      <c r="BO125" s="81">
        <f t="shared" si="109"/>
        <v>62</v>
      </c>
      <c r="BP125" s="49">
        <f t="shared" si="110"/>
        <v>26.654566303882696</v>
      </c>
      <c r="BQ125" s="82">
        <f t="shared" si="111"/>
        <v>6260.5217737864978</v>
      </c>
      <c r="BS125" s="193">
        <v>6260.5217737864978</v>
      </c>
    </row>
    <row r="126" spans="1:71" x14ac:dyDescent="0.25">
      <c r="A126">
        <v>9</v>
      </c>
      <c r="C126" s="68" t="s">
        <v>39</v>
      </c>
      <c r="D126" s="10" t="s">
        <v>40</v>
      </c>
      <c r="E126" s="11" t="s">
        <v>41</v>
      </c>
      <c r="F126" s="33">
        <v>44398</v>
      </c>
      <c r="G126" s="29">
        <v>0.79236111111111107</v>
      </c>
      <c r="H126" s="28">
        <v>23</v>
      </c>
      <c r="I126" s="28">
        <v>57</v>
      </c>
      <c r="J126" s="28" t="s">
        <v>85</v>
      </c>
      <c r="K126" s="10">
        <v>62</v>
      </c>
      <c r="L126" s="47">
        <f t="shared" si="100"/>
        <v>100582.39802554256</v>
      </c>
      <c r="M126" s="10">
        <f t="shared" si="91"/>
        <v>1.0058239802554256</v>
      </c>
      <c r="N126" s="10" t="s">
        <v>15</v>
      </c>
      <c r="O126" s="10">
        <f>_xll.HumidairTdbRHPsi(H126,I126,M126,N126)</f>
        <v>1.0108637195442614E-2</v>
      </c>
      <c r="P126" s="49">
        <f t="shared" si="92"/>
        <v>10.108637195442613</v>
      </c>
      <c r="Q126" s="31"/>
      <c r="R126" s="58">
        <v>10.108637195442613</v>
      </c>
      <c r="S126" s="4"/>
      <c r="T126" s="10">
        <v>9</v>
      </c>
      <c r="U126" s="10" t="s">
        <v>144</v>
      </c>
      <c r="V126" s="78">
        <f>_xll.HumidairTdbRHPsi(H126, I126,M126,U126)</f>
        <v>14.03418934907063</v>
      </c>
      <c r="W126" s="79">
        <v>14.03418934907063</v>
      </c>
      <c r="X126" s="4"/>
      <c r="Y126" s="10">
        <v>9</v>
      </c>
      <c r="Z126" s="10" t="s">
        <v>145</v>
      </c>
      <c r="AA126" s="78">
        <f>_xll.HumidairTdbRHPsi(H126,I126,M126,Z126)</f>
        <v>48.842851450928777</v>
      </c>
      <c r="AB126" s="81">
        <f t="shared" si="101"/>
        <v>85.842851450928777</v>
      </c>
      <c r="AC126" s="80">
        <v>85.842851450928777</v>
      </c>
      <c r="AE126" s="10" t="s">
        <v>146</v>
      </c>
      <c r="AF126" s="78">
        <f>_xll.HumidairTdbRHPsi(H126,I126,M126,AE126)</f>
        <v>23.141291329290695</v>
      </c>
      <c r="AG126" s="81">
        <f t="shared" si="102"/>
        <v>60.141291329290695</v>
      </c>
      <c r="AH126" s="80">
        <v>60.141291329290695</v>
      </c>
      <c r="AJ126" s="10" t="s">
        <v>150</v>
      </c>
      <c r="AK126" s="84">
        <f>_xll.HumidairTdbRHPsi(H126,I126,M126,AJ126)</f>
        <v>0.84491629982992855</v>
      </c>
      <c r="AL126" s="58">
        <v>0.84491629982992855</v>
      </c>
      <c r="AN126" s="48">
        <f t="shared" si="93"/>
        <v>0.5027763060742052</v>
      </c>
      <c r="AO126" s="81">
        <f t="shared" si="103"/>
        <v>20.105635594432069</v>
      </c>
      <c r="AP126" s="81">
        <f t="shared" si="94"/>
        <v>49.112772101305467</v>
      </c>
      <c r="AR126" s="58">
        <v>0.5027763060742052</v>
      </c>
      <c r="AS126" s="80">
        <v>20.105635594432069</v>
      </c>
      <c r="AT126" s="80">
        <v>49.112772101305467</v>
      </c>
      <c r="AU126" s="140"/>
      <c r="AV126" s="49">
        <f t="shared" si="95"/>
        <v>0.13222369392579481</v>
      </c>
      <c r="AW126" s="162">
        <f t="shared" si="96"/>
        <v>1.3222369392579481E-4</v>
      </c>
      <c r="AX126" s="10">
        <f t="shared" si="97"/>
        <v>60</v>
      </c>
      <c r="AY126" s="55">
        <f t="shared" si="98"/>
        <v>6.6085402224112244E-3</v>
      </c>
      <c r="AZ126" s="55">
        <f t="shared" si="99"/>
        <v>3.8805286097540951E-3</v>
      </c>
      <c r="BB126" s="58">
        <v>0.13222369392579481</v>
      </c>
      <c r="BC126" s="167">
        <v>1.3222369392579481E-4</v>
      </c>
      <c r="BD126" s="168">
        <v>60</v>
      </c>
      <c r="BE126" s="170">
        <v>6.6085402224112244E-3</v>
      </c>
      <c r="BF126" s="171">
        <v>3.8805286097540951E-3</v>
      </c>
      <c r="BH126" s="81">
        <f t="shared" si="104"/>
        <v>330.96141092758705</v>
      </c>
      <c r="BI126" s="80">
        <v>330.96141092758705</v>
      </c>
      <c r="BK126" s="81">
        <f t="shared" si="105"/>
        <v>85.842851450928777</v>
      </c>
      <c r="BL126" s="81">
        <f t="shared" si="106"/>
        <v>60.141291329290695</v>
      </c>
      <c r="BM126" s="81">
        <f t="shared" si="107"/>
        <v>25.701560121638082</v>
      </c>
      <c r="BN126" s="192">
        <f t="shared" si="108"/>
        <v>0.29940245095807572</v>
      </c>
      <c r="BO126" s="81">
        <f t="shared" si="109"/>
        <v>60</v>
      </c>
      <c r="BP126" s="49">
        <f t="shared" si="110"/>
        <v>17.964147057484542</v>
      </c>
      <c r="BQ126" s="82">
        <f t="shared" si="111"/>
        <v>4629.3041139626876</v>
      </c>
      <c r="BS126" s="193">
        <v>4629.3041139626876</v>
      </c>
    </row>
    <row r="127" spans="1:71" x14ac:dyDescent="0.25">
      <c r="A127" s="5">
        <v>10</v>
      </c>
      <c r="B127" s="14"/>
      <c r="C127" s="12" t="s">
        <v>42</v>
      </c>
      <c r="D127" s="13" t="s">
        <v>43</v>
      </c>
      <c r="E127" s="8" t="s">
        <v>44</v>
      </c>
      <c r="F127" s="33">
        <v>44398</v>
      </c>
      <c r="G127" s="29">
        <v>0.75347222222222221</v>
      </c>
      <c r="H127" s="28">
        <v>27</v>
      </c>
      <c r="I127" s="28">
        <v>65</v>
      </c>
      <c r="J127" s="28" t="s">
        <v>75</v>
      </c>
      <c r="K127" s="10">
        <v>255</v>
      </c>
      <c r="L127" s="47">
        <f t="shared" si="100"/>
        <v>98298.910193542106</v>
      </c>
      <c r="M127" s="10">
        <f t="shared" si="91"/>
        <v>0.98298910193542111</v>
      </c>
      <c r="N127" s="10" t="s">
        <v>15</v>
      </c>
      <c r="O127" s="10">
        <f>_xll.HumidairTdbRHPsi(H127,I127,M127,N127)</f>
        <v>1.5090432141361789E-2</v>
      </c>
      <c r="P127" s="49">
        <f t="shared" si="92"/>
        <v>15.09043214136179</v>
      </c>
      <c r="Q127" s="31"/>
      <c r="R127" s="58">
        <v>15.09043214136179</v>
      </c>
      <c r="S127" s="4"/>
      <c r="T127" s="10">
        <v>10</v>
      </c>
      <c r="U127" s="10" t="s">
        <v>144</v>
      </c>
      <c r="V127" s="78">
        <f>_xll.HumidairTdbRHPsi(H127, I127,M127,U127)</f>
        <v>19.86411789445782</v>
      </c>
      <c r="W127" s="79">
        <v>19.86411789445782</v>
      </c>
      <c r="X127" s="4"/>
      <c r="Y127" s="10">
        <v>10</v>
      </c>
      <c r="Z127" s="10" t="s">
        <v>145</v>
      </c>
      <c r="AA127" s="78">
        <f>_xll.HumidairTdbRHPsi(H127,I127,M127,Z127)</f>
        <v>65.649876203539733</v>
      </c>
      <c r="AB127" s="81">
        <f t="shared" si="101"/>
        <v>102.64987620353973</v>
      </c>
      <c r="AC127" s="80">
        <v>102.64987620353973</v>
      </c>
      <c r="AE127" s="10" t="s">
        <v>146</v>
      </c>
      <c r="AF127" s="78">
        <f>_xll.HumidairTdbRHPsi(H127,I127,M127,AE127)</f>
        <v>27.172192819820296</v>
      </c>
      <c r="AG127" s="81">
        <f t="shared" si="102"/>
        <v>64.172192819820296</v>
      </c>
      <c r="AH127" s="80">
        <v>64.172192819820296</v>
      </c>
      <c r="AJ127" s="10" t="s">
        <v>150</v>
      </c>
      <c r="AK127" s="84">
        <f>_xll.HumidairTdbRHPsi(H127,I127,M127,AJ127)</f>
        <v>0.87625842440667345</v>
      </c>
      <c r="AL127" s="58">
        <v>0.87625842440667345</v>
      </c>
      <c r="AN127" s="48">
        <f t="shared" si="93"/>
        <v>0.48479293817690555</v>
      </c>
      <c r="AO127" s="81">
        <f t="shared" si="103"/>
        <v>31.127582423354418</v>
      </c>
      <c r="AP127" s="81">
        <f t="shared" si="94"/>
        <v>76.036485115952928</v>
      </c>
      <c r="AR127" s="58">
        <v>0.48479293817690555</v>
      </c>
      <c r="AS127" s="80">
        <v>31.127582423354418</v>
      </c>
      <c r="AT127" s="80">
        <v>76.036485115952928</v>
      </c>
      <c r="AU127" s="140"/>
      <c r="AV127" s="49">
        <f t="shared" si="95"/>
        <v>0.15020706182309446</v>
      </c>
      <c r="AW127" s="162">
        <f t="shared" si="96"/>
        <v>1.5020706182309446E-4</v>
      </c>
      <c r="AX127" s="10">
        <f t="shared" si="97"/>
        <v>64</v>
      </c>
      <c r="AY127" s="55">
        <f t="shared" si="98"/>
        <v>8.0078388799128108E-3</v>
      </c>
      <c r="AZ127" s="55">
        <f t="shared" si="99"/>
        <v>4.7021954667720552E-3</v>
      </c>
      <c r="BB127" s="58">
        <v>0.15020706182309446</v>
      </c>
      <c r="BC127" s="167">
        <v>1.5020706182309446E-4</v>
      </c>
      <c r="BD127" s="168">
        <v>64</v>
      </c>
      <c r="BE127" s="170">
        <v>8.0078388799128108E-3</v>
      </c>
      <c r="BF127" s="171">
        <v>4.7021954667720552E-3</v>
      </c>
      <c r="BH127" s="81">
        <f t="shared" si="104"/>
        <v>319.123540406215</v>
      </c>
      <c r="BI127" s="80">
        <v>319.123540406215</v>
      </c>
      <c r="BK127" s="81">
        <f t="shared" si="105"/>
        <v>102.64987620353973</v>
      </c>
      <c r="BL127" s="81">
        <f t="shared" si="106"/>
        <v>64.172192819820296</v>
      </c>
      <c r="BM127" s="81">
        <f t="shared" si="107"/>
        <v>38.477683383719437</v>
      </c>
      <c r="BN127" s="192">
        <f t="shared" si="108"/>
        <v>0.37484393363927498</v>
      </c>
      <c r="BO127" s="81">
        <f t="shared" si="109"/>
        <v>64</v>
      </c>
      <c r="BP127" s="49">
        <f t="shared" si="110"/>
        <v>23.990011752913599</v>
      </c>
      <c r="BQ127" s="82">
        <f t="shared" si="111"/>
        <v>5101.8746290830331</v>
      </c>
      <c r="BS127" s="193">
        <v>5101.8746290830331</v>
      </c>
    </row>
    <row r="128" spans="1:71" x14ac:dyDescent="0.25">
      <c r="A128">
        <v>11</v>
      </c>
      <c r="C128" s="9" t="s">
        <v>77</v>
      </c>
      <c r="D128" s="10" t="s">
        <v>78</v>
      </c>
      <c r="E128" s="11" t="s">
        <v>79</v>
      </c>
      <c r="F128" s="33">
        <v>44398</v>
      </c>
      <c r="G128" s="34">
        <v>0.96527777777777779</v>
      </c>
      <c r="H128" s="28">
        <v>39</v>
      </c>
      <c r="I128" s="28">
        <v>10</v>
      </c>
      <c r="J128" s="28" t="s">
        <v>88</v>
      </c>
      <c r="K128" s="10">
        <v>138</v>
      </c>
      <c r="L128" s="47">
        <f>+((101325*(1-(2.25577*10^-5)*(K128))^5.25588))</f>
        <v>99678.130068961269</v>
      </c>
      <c r="M128" s="10">
        <f t="shared" si="91"/>
        <v>0.99678130068961268</v>
      </c>
      <c r="N128" s="10" t="s">
        <v>15</v>
      </c>
      <c r="O128" s="10">
        <f>_xll.HumidairTdbRHPsi(H128,I128,M128,N128)</f>
        <v>4.4187964312878943E-3</v>
      </c>
      <c r="P128" s="49">
        <f t="shared" si="92"/>
        <v>4.4187964312878947</v>
      </c>
      <c r="Q128" s="31"/>
      <c r="R128" s="58">
        <v>4.4187964312878947</v>
      </c>
      <c r="S128" s="4"/>
      <c r="T128" s="10">
        <v>11</v>
      </c>
      <c r="U128" s="10" t="s">
        <v>144</v>
      </c>
      <c r="V128" s="78">
        <f>_xll.HumidairTdbRHPsi(H128, I128,M128,U128)</f>
        <v>1.890311121510706</v>
      </c>
      <c r="W128" s="79">
        <v>1.890311121510706</v>
      </c>
      <c r="X128" s="4"/>
      <c r="Y128" s="10">
        <v>11</v>
      </c>
      <c r="Z128" s="10" t="s">
        <v>145</v>
      </c>
      <c r="AA128" s="78">
        <f>_xll.HumidairTdbRHPsi(H128,I128,M128,Z128)</f>
        <v>50.618848176412996</v>
      </c>
      <c r="AB128" s="81">
        <f t="shared" si="101"/>
        <v>87.618848176412996</v>
      </c>
      <c r="AC128" s="80">
        <v>87.618848176412996</v>
      </c>
      <c r="AE128" s="10" t="s">
        <v>146</v>
      </c>
      <c r="AF128" s="78">
        <f>_xll.HumidairTdbRHPsi(H128,I128,M128,AE128)</f>
        <v>39.249690851044647</v>
      </c>
      <c r="AG128" s="81">
        <f t="shared" si="102"/>
        <v>76.249690851044647</v>
      </c>
      <c r="AH128" s="80">
        <v>76.249690851044647</v>
      </c>
      <c r="AJ128" s="10" t="s">
        <v>150</v>
      </c>
      <c r="AK128" s="84">
        <f>_xll.HumidairTdbRHPsi(H128,I128,M128,AJ128)</f>
        <v>0.89876544456643503</v>
      </c>
      <c r="AL128" s="58">
        <v>0.89876544456643503</v>
      </c>
      <c r="AN128" s="48">
        <f t="shared" si="93"/>
        <v>0.47265268011644879</v>
      </c>
      <c r="AO128" s="81">
        <f t="shared" si="103"/>
        <v>9.3489291760690385</v>
      </c>
      <c r="AP128" s="81">
        <f t="shared" si="94"/>
        <v>22.836971547553507</v>
      </c>
      <c r="AR128" s="58">
        <v>0.47265268011644879</v>
      </c>
      <c r="AS128" s="80">
        <v>9.3489291760690385</v>
      </c>
      <c r="AT128" s="80">
        <v>22.836971547553507</v>
      </c>
      <c r="AU128" s="140"/>
      <c r="AV128" s="49">
        <f t="shared" si="95"/>
        <v>0.16234731988355122</v>
      </c>
      <c r="AW128" s="162">
        <f t="shared" si="96"/>
        <v>1.6234731988355123E-4</v>
      </c>
      <c r="AX128" s="10">
        <f t="shared" si="97"/>
        <v>76</v>
      </c>
      <c r="AY128" s="55">
        <f t="shared" si="98"/>
        <v>1.027788412718786E-2</v>
      </c>
      <c r="AZ128" s="55">
        <f t="shared" si="99"/>
        <v>6.0351639032224661E-3</v>
      </c>
      <c r="BB128" s="58">
        <v>0.16234731988355122</v>
      </c>
      <c r="BC128" s="167">
        <v>1.6234731988355123E-4</v>
      </c>
      <c r="BD128" s="168">
        <v>76</v>
      </c>
      <c r="BE128" s="170">
        <v>1.027788412718786E-2</v>
      </c>
      <c r="BF128" s="171">
        <v>6.0351639032224661E-3</v>
      </c>
      <c r="BH128" s="81">
        <f t="shared" si="104"/>
        <v>311.13200045460724</v>
      </c>
      <c r="BI128" s="80">
        <v>311.13200045460724</v>
      </c>
      <c r="BK128" s="81">
        <f t="shared" si="105"/>
        <v>87.618848176412996</v>
      </c>
      <c r="BL128" s="81">
        <f t="shared" si="106"/>
        <v>76.249690851044647</v>
      </c>
      <c r="BM128" s="81">
        <f t="shared" si="107"/>
        <v>11.369157325368349</v>
      </c>
      <c r="BN128" s="192">
        <f t="shared" si="108"/>
        <v>0.12975698222461829</v>
      </c>
      <c r="BO128" s="81">
        <f t="shared" si="109"/>
        <v>76</v>
      </c>
      <c r="BP128" s="49">
        <f t="shared" si="110"/>
        <v>9.8615306490709891</v>
      </c>
      <c r="BQ128" s="82">
        <f t="shared" si="111"/>
        <v>1634.012067809035</v>
      </c>
      <c r="BS128" s="193">
        <v>1634.012067809035</v>
      </c>
    </row>
    <row r="129" spans="1:71" x14ac:dyDescent="0.25">
      <c r="A129">
        <v>12</v>
      </c>
      <c r="B129" s="1" t="s">
        <v>48</v>
      </c>
      <c r="C129" s="9" t="s">
        <v>45</v>
      </c>
      <c r="D129" s="10" t="s">
        <v>46</v>
      </c>
      <c r="E129" s="11" t="s">
        <v>47</v>
      </c>
      <c r="F129" s="33">
        <v>44399</v>
      </c>
      <c r="G129" s="29">
        <v>5.5555555555555558E-3</v>
      </c>
      <c r="H129" s="28">
        <v>25</v>
      </c>
      <c r="I129" s="28">
        <v>88</v>
      </c>
      <c r="J129" s="28" t="s">
        <v>87</v>
      </c>
      <c r="K129" s="10">
        <v>30</v>
      </c>
      <c r="L129" s="47">
        <f>+((101325*(1-(2.25577*10^-5)*(K129))^5.25588))</f>
        <v>100965.12412724759</v>
      </c>
      <c r="M129" s="10">
        <f t="shared" si="91"/>
        <v>1.0096512412724759</v>
      </c>
      <c r="N129" s="10" t="s">
        <v>15</v>
      </c>
      <c r="O129" s="10">
        <f>_xll.HumidairTdbRHPsi(H129,I129,M129,N129)</f>
        <v>1.7744821291585004E-2</v>
      </c>
      <c r="P129" s="49">
        <f t="shared" si="92"/>
        <v>17.744821291585005</v>
      </c>
      <c r="Q129" s="31"/>
      <c r="R129" s="58">
        <v>17.744821291585005</v>
      </c>
      <c r="S129" s="4"/>
      <c r="T129" s="10">
        <v>12</v>
      </c>
      <c r="U129" s="10" t="s">
        <v>144</v>
      </c>
      <c r="V129" s="78">
        <f>_xll.HumidairTdbRHPsi(H129, I129,M129,U129)</f>
        <v>22.873946468086956</v>
      </c>
      <c r="W129" s="79">
        <v>22.873946468086956</v>
      </c>
      <c r="X129" s="4"/>
      <c r="Y129" s="10">
        <v>12</v>
      </c>
      <c r="Z129" s="10" t="s">
        <v>145</v>
      </c>
      <c r="AA129" s="78">
        <f>_xll.HumidairTdbRHPsi(H129,I129,M129,Z129)</f>
        <v>70.32842155026718</v>
      </c>
      <c r="AB129" s="81">
        <f t="shared" si="101"/>
        <v>107.32842155026718</v>
      </c>
      <c r="AC129" s="80">
        <v>107.32842155026718</v>
      </c>
      <c r="AE129" s="10" t="s">
        <v>146</v>
      </c>
      <c r="AF129" s="78">
        <f>_xll.HumidairTdbRHPsi(H129,I129,M129,AE129)</f>
        <v>25.153197145646878</v>
      </c>
      <c r="AG129" s="81">
        <f t="shared" si="102"/>
        <v>62.153197145646878</v>
      </c>
      <c r="AH129" s="80">
        <v>62.153197145646878</v>
      </c>
      <c r="AJ129" s="10" t="s">
        <v>150</v>
      </c>
      <c r="AK129" s="84">
        <f>_xll.HumidairTdbRHPsi(H129,I129,M129,AJ129)</f>
        <v>0.84741250590286754</v>
      </c>
      <c r="AL129" s="58">
        <v>0.84741250590286754</v>
      </c>
      <c r="AN129" s="48">
        <f t="shared" si="93"/>
        <v>0.50129528796341505</v>
      </c>
      <c r="AO129" s="81">
        <f t="shared" si="103"/>
        <v>35.397941527988266</v>
      </c>
      <c r="AP129" s="81">
        <f t="shared" si="94"/>
        <v>86.467847631778994</v>
      </c>
      <c r="AR129" s="58">
        <v>0.50129528796341505</v>
      </c>
      <c r="AS129" s="80">
        <v>35.397941527988266</v>
      </c>
      <c r="AT129" s="80">
        <v>86.467847631778994</v>
      </c>
      <c r="AU129" s="140"/>
      <c r="AV129" s="49">
        <f t="shared" si="95"/>
        <v>0.13370471203658496</v>
      </c>
      <c r="AW129" s="162">
        <f t="shared" si="96"/>
        <v>1.3370471203658497E-4</v>
      </c>
      <c r="AX129" s="10">
        <f t="shared" si="97"/>
        <v>62</v>
      </c>
      <c r="AY129" s="55">
        <f t="shared" si="98"/>
        <v>6.9053135578414672E-3</v>
      </c>
      <c r="AZ129" s="55">
        <f t="shared" si="99"/>
        <v>4.054793633494696E-3</v>
      </c>
      <c r="BB129" s="58">
        <v>0.13370471203658496</v>
      </c>
      <c r="BC129" s="167">
        <v>1.3370471203658497E-4</v>
      </c>
      <c r="BD129" s="168">
        <v>62</v>
      </c>
      <c r="BE129" s="170">
        <v>6.9053135578414672E-3</v>
      </c>
      <c r="BF129" s="171">
        <v>4.054793633494696E-3</v>
      </c>
      <c r="BH129" s="81">
        <f t="shared" si="104"/>
        <v>329.98650451764962</v>
      </c>
      <c r="BI129" s="80">
        <v>329.98650451764962</v>
      </c>
      <c r="BK129" s="81">
        <f t="shared" si="105"/>
        <v>107.32842155026718</v>
      </c>
      <c r="BL129" s="81">
        <f t="shared" si="106"/>
        <v>62.153197145646878</v>
      </c>
      <c r="BM129" s="81">
        <f t="shared" si="107"/>
        <v>45.175224404620302</v>
      </c>
      <c r="BN129" s="192">
        <f t="shared" si="108"/>
        <v>0.42090644539538413</v>
      </c>
      <c r="BO129" s="81">
        <f t="shared" si="109"/>
        <v>62</v>
      </c>
      <c r="BP129" s="49">
        <f t="shared" si="110"/>
        <v>26.096199614513814</v>
      </c>
      <c r="BQ129" s="82">
        <f t="shared" si="111"/>
        <v>6435.8884750497991</v>
      </c>
      <c r="BS129" s="193">
        <v>6435.8884750497991</v>
      </c>
    </row>
    <row r="130" spans="1:71" x14ac:dyDescent="0.25">
      <c r="A130">
        <v>13</v>
      </c>
      <c r="C130" s="26" t="s">
        <v>49</v>
      </c>
      <c r="D130" s="27" t="s">
        <v>50</v>
      </c>
      <c r="E130" s="10" t="s">
        <v>51</v>
      </c>
      <c r="F130" s="33">
        <v>44399</v>
      </c>
      <c r="G130" s="29">
        <v>0.3</v>
      </c>
      <c r="H130" s="28">
        <v>24</v>
      </c>
      <c r="I130" s="28">
        <v>100</v>
      </c>
      <c r="J130" s="28" t="s">
        <v>75</v>
      </c>
      <c r="K130" s="10">
        <v>3</v>
      </c>
      <c r="L130" s="47">
        <f>+((101325*(1-(2.25577*10^-5)*(K130))^5.25588))</f>
        <v>101288.96574192833</v>
      </c>
      <c r="M130" s="10">
        <f t="shared" si="91"/>
        <v>1.0128896574192834</v>
      </c>
      <c r="N130" s="10" t="s">
        <v>15</v>
      </c>
      <c r="O130" s="10">
        <f>_xll.HumidairTdbRHPsi(H130,I130,M130,N130)</f>
        <v>1.8968415423644334E-2</v>
      </c>
      <c r="P130" s="49">
        <f t="shared" si="92"/>
        <v>18.968415423644334</v>
      </c>
      <c r="Q130" s="31"/>
      <c r="R130" s="58">
        <v>18.968415423644334</v>
      </c>
      <c r="S130" s="4"/>
      <c r="T130" s="10">
        <v>13</v>
      </c>
      <c r="U130" s="10" t="s">
        <v>144</v>
      </c>
      <c r="V130" s="78">
        <f>_xll.HumidairTdbRHPsi(H130, I130,M130,U130)</f>
        <v>24</v>
      </c>
      <c r="W130" s="79">
        <v>24</v>
      </c>
      <c r="X130" s="4"/>
      <c r="Y130" s="10">
        <v>13</v>
      </c>
      <c r="Z130" s="10" t="s">
        <v>145</v>
      </c>
      <c r="AA130" s="78">
        <f>_xll.HumidairTdbRHPsi(H130,I130,M130,Z130)</f>
        <v>72.398890354313963</v>
      </c>
      <c r="AB130" s="81">
        <f t="shared" si="101"/>
        <v>109.39889035431396</v>
      </c>
      <c r="AC130" s="80">
        <v>109.39889035431396</v>
      </c>
      <c r="AE130" s="10" t="s">
        <v>146</v>
      </c>
      <c r="AF130" s="78">
        <f>_xll.HumidairTdbRHPsi(H130,I130,M130,AE130)</f>
        <v>24.146027911979477</v>
      </c>
      <c r="AG130" s="81">
        <f t="shared" si="102"/>
        <v>61.146027911979473</v>
      </c>
      <c r="AH130" s="80">
        <v>61.146027911979473</v>
      </c>
      <c r="AJ130" s="10" t="s">
        <v>150</v>
      </c>
      <c r="AK130" s="84">
        <f>_xll.HumidairTdbRHPsi(H130,I130,M130,AJ130)</f>
        <v>0.84186141922108149</v>
      </c>
      <c r="AL130" s="58">
        <v>0.84186141922108149</v>
      </c>
      <c r="AN130" s="48">
        <f t="shared" si="93"/>
        <v>0.50460074125195098</v>
      </c>
      <c r="AO130" s="81">
        <f t="shared" si="103"/>
        <v>37.590938484518119</v>
      </c>
      <c r="AP130" s="81">
        <f t="shared" si="94"/>
        <v>91.824761579564566</v>
      </c>
      <c r="AR130" s="58">
        <v>0.50460074125195098</v>
      </c>
      <c r="AS130" s="80">
        <v>37.590938484518119</v>
      </c>
      <c r="AT130" s="80">
        <v>91.824761579564566</v>
      </c>
      <c r="AU130" s="140"/>
      <c r="AV130" s="49">
        <f t="shared" si="95"/>
        <v>0.13039925874804903</v>
      </c>
      <c r="AW130" s="162">
        <f t="shared" si="96"/>
        <v>1.3039925874804904E-4</v>
      </c>
      <c r="AX130" s="10">
        <f t="shared" si="97"/>
        <v>61</v>
      </c>
      <c r="AY130" s="55">
        <f t="shared" si="98"/>
        <v>6.6259775347646162E-3</v>
      </c>
      <c r="AZ130" s="55">
        <f t="shared" si="99"/>
        <v>3.8907677831853294E-3</v>
      </c>
      <c r="BB130" s="58">
        <v>0.13039925874804903</v>
      </c>
      <c r="BC130" s="167">
        <v>1.3039925874804904E-4</v>
      </c>
      <c r="BD130" s="168">
        <v>61</v>
      </c>
      <c r="BE130" s="170">
        <v>6.6259775347646162E-3</v>
      </c>
      <c r="BF130" s="171">
        <v>3.8907677831853294E-3</v>
      </c>
      <c r="BH130" s="81">
        <f t="shared" si="104"/>
        <v>332.16237770600867</v>
      </c>
      <c r="BI130" s="80">
        <v>332.16237770600867</v>
      </c>
      <c r="BK130" s="81">
        <f t="shared" si="105"/>
        <v>109.39889035431396</v>
      </c>
      <c r="BL130" s="81">
        <f t="shared" si="106"/>
        <v>61.146027911979473</v>
      </c>
      <c r="BM130" s="81">
        <f t="shared" si="107"/>
        <v>48.252862442334489</v>
      </c>
      <c r="BN130" s="192">
        <f t="shared" si="108"/>
        <v>0.44107268625903129</v>
      </c>
      <c r="BO130" s="81">
        <f t="shared" si="109"/>
        <v>61</v>
      </c>
      <c r="BP130" s="49">
        <f t="shared" si="110"/>
        <v>26.905433861800908</v>
      </c>
      <c r="BQ130" s="82">
        <f t="shared" si="111"/>
        <v>6915.1990972264402</v>
      </c>
      <c r="BS130" s="193">
        <v>6915.1990972264402</v>
      </c>
    </row>
    <row r="131" spans="1:71" x14ac:dyDescent="0.25">
      <c r="A131" s="5">
        <v>14</v>
      </c>
      <c r="B131" s="14"/>
      <c r="C131" s="9" t="s">
        <v>172</v>
      </c>
      <c r="D131" s="10" t="s">
        <v>83</v>
      </c>
      <c r="E131" s="10" t="s">
        <v>84</v>
      </c>
      <c r="F131" s="33">
        <v>44399</v>
      </c>
      <c r="G131" s="29">
        <v>9.0972222222222218E-2</v>
      </c>
      <c r="H131" s="28">
        <v>26</v>
      </c>
      <c r="I131" s="28">
        <v>83</v>
      </c>
      <c r="J131" s="28" t="s">
        <v>104</v>
      </c>
      <c r="K131" s="10">
        <v>61</v>
      </c>
      <c r="L131" s="47">
        <f>+((101325*(1-(2.25577*10^-5)*(K131))^5.25588))</f>
        <v>100594.34040699142</v>
      </c>
      <c r="M131" s="10">
        <f t="shared" si="91"/>
        <v>1.0059434040699142</v>
      </c>
      <c r="N131" s="10" t="s">
        <v>15</v>
      </c>
      <c r="O131" s="10">
        <f>_xll.HumidairTdbRHPsi(H131,I131,M131,N131)</f>
        <v>1.782879598962326E-2</v>
      </c>
      <c r="P131" s="49">
        <f t="shared" si="92"/>
        <v>17.828795989623259</v>
      </c>
      <c r="Q131" s="31"/>
      <c r="R131" s="58">
        <v>17.828795989623259</v>
      </c>
      <c r="S131" s="4"/>
      <c r="T131" s="10">
        <v>14</v>
      </c>
      <c r="U131" s="10" t="s">
        <v>144</v>
      </c>
      <c r="V131" s="78">
        <f>_xll.HumidairTdbRHPsi(H131, I131,M131,U131)</f>
        <v>22.889149381309949</v>
      </c>
      <c r="W131" s="79">
        <v>22.889149381309949</v>
      </c>
      <c r="X131" s="4"/>
      <c r="Y131" s="10">
        <v>14</v>
      </c>
      <c r="Z131" s="10" t="s">
        <v>145</v>
      </c>
      <c r="AA131" s="78">
        <f>_xll.HumidairTdbRHPsi(H131,I131,M131,Z131)</f>
        <v>71.583249073524158</v>
      </c>
      <c r="AB131" s="81">
        <f t="shared" si="101"/>
        <v>108.58324907352416</v>
      </c>
      <c r="AC131" s="80">
        <v>108.58324907352416</v>
      </c>
      <c r="AE131" s="10" t="s">
        <v>146</v>
      </c>
      <c r="AF131" s="78">
        <f>_xll.HumidairTdbRHPsi(H131,I131,M131,AE131)</f>
        <v>26.160497256436784</v>
      </c>
      <c r="AG131" s="81">
        <f t="shared" si="102"/>
        <v>63.160497256436784</v>
      </c>
      <c r="AH131" s="80">
        <v>63.160497256436784</v>
      </c>
      <c r="AJ131" s="10" t="s">
        <v>150</v>
      </c>
      <c r="AK131" s="84">
        <f>_xll.HumidairTdbRHPsi(H131,I131,M131,AJ131)</f>
        <v>0.8533973844209255</v>
      </c>
      <c r="AL131" s="58">
        <v>0.8533973844209255</v>
      </c>
      <c r="AN131" s="48">
        <f t="shared" si="93"/>
        <v>0.49777970254575904</v>
      </c>
      <c r="AO131" s="81">
        <f t="shared" si="103"/>
        <v>35.816639164760488</v>
      </c>
      <c r="AP131" s="81">
        <f t="shared" si="94"/>
        <v>87.49061567696549</v>
      </c>
      <c r="AR131" s="58">
        <v>0.49777970254575904</v>
      </c>
      <c r="AS131" s="80">
        <v>35.816639164760488</v>
      </c>
      <c r="AT131" s="80">
        <v>87.49061567696549</v>
      </c>
      <c r="AU131" s="140"/>
      <c r="AV131" s="49">
        <f t="shared" si="95"/>
        <v>0.13722029745424097</v>
      </c>
      <c r="AW131" s="162">
        <f t="shared" si="96"/>
        <v>1.3722029745424097E-4</v>
      </c>
      <c r="AX131" s="10">
        <f t="shared" si="97"/>
        <v>63</v>
      </c>
      <c r="AY131" s="55">
        <f t="shared" si="98"/>
        <v>7.2011839901011121E-3</v>
      </c>
      <c r="AZ131" s="55">
        <f t="shared" si="99"/>
        <v>4.2285284733418159E-3</v>
      </c>
      <c r="BB131" s="58">
        <v>0.13722029745424097</v>
      </c>
      <c r="BC131" s="167">
        <v>1.3722029745424097E-4</v>
      </c>
      <c r="BD131" s="168">
        <v>63</v>
      </c>
      <c r="BE131" s="170">
        <v>7.2011839901011121E-3</v>
      </c>
      <c r="BF131" s="171">
        <v>4.2285284733418159E-3</v>
      </c>
      <c r="BH131" s="81">
        <f t="shared" si="104"/>
        <v>327.67230813248392</v>
      </c>
      <c r="BI131" s="80">
        <v>327.67230813248392</v>
      </c>
      <c r="BK131" s="81">
        <f t="shared" si="105"/>
        <v>108.58324907352416</v>
      </c>
      <c r="BL131" s="81">
        <f t="shared" si="106"/>
        <v>63.160497256436784</v>
      </c>
      <c r="BM131" s="81">
        <f t="shared" si="107"/>
        <v>45.422751817087374</v>
      </c>
      <c r="BN131" s="192">
        <f t="shared" si="108"/>
        <v>0.4183219069667975</v>
      </c>
      <c r="BO131" s="81">
        <f t="shared" si="109"/>
        <v>63</v>
      </c>
      <c r="BP131" s="49">
        <f t="shared" si="110"/>
        <v>26.354280138908241</v>
      </c>
      <c r="BQ131" s="82">
        <f t="shared" si="111"/>
        <v>6232.4944256743747</v>
      </c>
      <c r="BS131" s="193">
        <v>6232.4944256743747</v>
      </c>
    </row>
    <row r="132" spans="1:71" x14ac:dyDescent="0.25">
      <c r="A132">
        <v>15</v>
      </c>
      <c r="C132" s="9" t="s">
        <v>52</v>
      </c>
      <c r="D132" s="10" t="s">
        <v>53</v>
      </c>
      <c r="E132" s="10" t="s">
        <v>54</v>
      </c>
      <c r="F132" s="33">
        <v>44398</v>
      </c>
      <c r="G132" s="29">
        <v>0.79652777777777783</v>
      </c>
      <c r="H132" s="28">
        <v>18</v>
      </c>
      <c r="I132" s="28">
        <v>45</v>
      </c>
      <c r="J132" s="28" t="s">
        <v>95</v>
      </c>
      <c r="K132" s="10">
        <v>533</v>
      </c>
      <c r="L132" s="47">
        <f t="shared" ref="L132:L137" si="112">+((101325*(1-(2.25577*10^-5)*(K132))^5.25588))</f>
        <v>95083.68775760736</v>
      </c>
      <c r="M132" s="10">
        <f t="shared" si="91"/>
        <v>0.9508368775760736</v>
      </c>
      <c r="N132" s="10" t="s">
        <v>15</v>
      </c>
      <c r="O132" s="10">
        <f>_xll.HumidairTdbRHPsi(H132,I132,M132,N132)</f>
        <v>6.1603187177547911E-3</v>
      </c>
      <c r="P132" s="49">
        <f t="shared" si="92"/>
        <v>6.1603187177547909</v>
      </c>
      <c r="Q132" s="31"/>
      <c r="R132" s="58">
        <v>6.1603187177547909</v>
      </c>
      <c r="S132" s="4"/>
      <c r="T132" s="10">
        <v>15</v>
      </c>
      <c r="U132" s="10" t="s">
        <v>144</v>
      </c>
      <c r="V132" s="78">
        <f>_xll.HumidairTdbRHPsi(H132, I132,M132,U132)</f>
        <v>5.9039421871248692</v>
      </c>
      <c r="W132" s="79">
        <v>5.9039421871248692</v>
      </c>
      <c r="X132" s="4"/>
      <c r="Y132" s="10">
        <v>15</v>
      </c>
      <c r="Z132" s="10" t="s">
        <v>145</v>
      </c>
      <c r="AA132" s="78">
        <f>_xll.HumidairTdbRHPsi(H132,I132,M132,Z132)</f>
        <v>33.730243499036582</v>
      </c>
      <c r="AB132" s="81">
        <f t="shared" si="101"/>
        <v>70.73024349903659</v>
      </c>
      <c r="AC132" s="80">
        <v>70.73024349903659</v>
      </c>
      <c r="AE132" s="10" t="s">
        <v>146</v>
      </c>
      <c r="AF132" s="78">
        <f>_xll.HumidairTdbRHPsi(H132,I132,M132,AE132)</f>
        <v>18.123221724284402</v>
      </c>
      <c r="AG132" s="81">
        <f t="shared" si="102"/>
        <v>55.123221724284406</v>
      </c>
      <c r="AH132" s="80">
        <v>55.123221724284406</v>
      </c>
      <c r="AJ132" s="10" t="s">
        <v>150</v>
      </c>
      <c r="AK132" s="84">
        <f>_xll.HumidairTdbRHPsi(H132,I132,M132,AJ132)</f>
        <v>0.87866336455541982</v>
      </c>
      <c r="AL132" s="58">
        <v>0.87866336455541982</v>
      </c>
      <c r="AN132" s="48">
        <f t="shared" si="93"/>
        <v>0.4834660386521481</v>
      </c>
      <c r="AO132" s="81">
        <f t="shared" si="103"/>
        <v>12.741988527113723</v>
      </c>
      <c r="AP132" s="81">
        <f t="shared" si="94"/>
        <v>31.1253218387629</v>
      </c>
      <c r="AR132" s="58">
        <v>0.4834660386521481</v>
      </c>
      <c r="AS132" s="80">
        <v>12.741988527113723</v>
      </c>
      <c r="AT132" s="80">
        <v>31.1253218387629</v>
      </c>
      <c r="AU132" s="140"/>
      <c r="AV132" s="49">
        <f t="shared" si="95"/>
        <v>0.15153396134785191</v>
      </c>
      <c r="AW132" s="162">
        <f t="shared" si="96"/>
        <v>1.5153396134785191E-4</v>
      </c>
      <c r="AX132" s="10">
        <f t="shared" si="97"/>
        <v>55</v>
      </c>
      <c r="AY132" s="55">
        <f t="shared" si="98"/>
        <v>6.9425284391518354E-3</v>
      </c>
      <c r="AZ132" s="55">
        <f t="shared" si="99"/>
        <v>4.076646176836075E-3</v>
      </c>
      <c r="BB132" s="58">
        <v>0.15153396134785191</v>
      </c>
      <c r="BC132" s="167">
        <v>1.5153396134785191E-4</v>
      </c>
      <c r="BD132" s="168">
        <v>55</v>
      </c>
      <c r="BE132" s="170">
        <v>6.9425284391518354E-3</v>
      </c>
      <c r="BF132" s="171">
        <v>4.076646176836075E-3</v>
      </c>
      <c r="BH132" s="81">
        <f t="shared" si="104"/>
        <v>318.25008528598096</v>
      </c>
      <c r="BI132" s="80">
        <v>318.25008528598096</v>
      </c>
      <c r="BK132" s="81">
        <f t="shared" si="105"/>
        <v>70.73024349903659</v>
      </c>
      <c r="BL132" s="81">
        <f t="shared" si="106"/>
        <v>55.123221724284406</v>
      </c>
      <c r="BM132" s="81">
        <f t="shared" si="107"/>
        <v>15.607021774752184</v>
      </c>
      <c r="BN132" s="192">
        <f t="shared" si="108"/>
        <v>0.2206555640511087</v>
      </c>
      <c r="BO132" s="81">
        <f t="shared" si="109"/>
        <v>55</v>
      </c>
      <c r="BP132" s="49">
        <f t="shared" si="110"/>
        <v>12.136056022810978</v>
      </c>
      <c r="BQ132" s="82">
        <f t="shared" si="111"/>
        <v>2976.9706509653211</v>
      </c>
      <c r="BS132" s="193">
        <v>2976.9706509653211</v>
      </c>
    </row>
    <row r="133" spans="1:71" x14ac:dyDescent="0.25">
      <c r="A133">
        <v>16</v>
      </c>
      <c r="C133" s="9" t="s">
        <v>55</v>
      </c>
      <c r="D133" s="10" t="s">
        <v>56</v>
      </c>
      <c r="E133" s="11" t="s">
        <v>57</v>
      </c>
      <c r="F133" s="33">
        <v>44399</v>
      </c>
      <c r="G133" s="29">
        <v>4.5833333333333337E-2</v>
      </c>
      <c r="H133" s="28">
        <v>7</v>
      </c>
      <c r="I133" s="28">
        <v>81</v>
      </c>
      <c r="J133" s="28" t="s">
        <v>112</v>
      </c>
      <c r="K133" s="10">
        <v>61</v>
      </c>
      <c r="L133" s="47">
        <f t="shared" si="112"/>
        <v>100594.34040699142</v>
      </c>
      <c r="M133" s="10">
        <f t="shared" si="91"/>
        <v>1.0059434040699142</v>
      </c>
      <c r="N133" s="10" t="s">
        <v>15</v>
      </c>
      <c r="O133" s="10">
        <f>_xll.HumidairTdbRHPsi(H133,I133,M133,N133)</f>
        <v>5.0788205323280024E-3</v>
      </c>
      <c r="P133" s="49">
        <f t="shared" si="92"/>
        <v>5.0788205323280025</v>
      </c>
      <c r="Q133" s="31"/>
      <c r="R133" s="58">
        <v>5.0788205323280025</v>
      </c>
      <c r="S133" s="4"/>
      <c r="T133" s="10">
        <v>16</v>
      </c>
      <c r="U133" s="10" t="s">
        <v>144</v>
      </c>
      <c r="V133" s="78">
        <f>_xll.HumidairTdbRHPsi(H133, I133,M133,U133)</f>
        <v>3.9668815333240559</v>
      </c>
      <c r="W133" s="79">
        <v>3.9668815333240559</v>
      </c>
      <c r="X133" s="4"/>
      <c r="Y133" s="10">
        <v>16</v>
      </c>
      <c r="Z133" s="10" t="s">
        <v>145</v>
      </c>
      <c r="AA133" s="78">
        <f>_xll.HumidairTdbRHPsi(H133,I133,M133,Z133)</f>
        <v>19.805467951958523</v>
      </c>
      <c r="AB133" s="81">
        <f t="shared" si="101"/>
        <v>56.805467951958519</v>
      </c>
      <c r="AC133" s="80">
        <v>56.805467951958519</v>
      </c>
      <c r="AE133" s="10" t="s">
        <v>146</v>
      </c>
      <c r="AF133" s="78">
        <f>_xll.HumidairTdbRHPsi(H133,I133,M133,AE133)</f>
        <v>7.043141029590922</v>
      </c>
      <c r="AG133" s="81">
        <f t="shared" si="102"/>
        <v>44.04314102959092</v>
      </c>
      <c r="AH133" s="80">
        <v>44.04314102959092</v>
      </c>
      <c r="AJ133" s="10" t="s">
        <v>150</v>
      </c>
      <c r="AK133" s="84">
        <f>_xll.HumidairTdbRHPsi(H133,I133,M133,AJ133)</f>
        <v>0.79903914291402378</v>
      </c>
      <c r="AL133" s="58">
        <v>0.79903914291402378</v>
      </c>
      <c r="AN133" s="48">
        <f t="shared" si="93"/>
        <v>0.53164341188737707</v>
      </c>
      <c r="AO133" s="81">
        <f t="shared" si="103"/>
        <v>9.5530583446859225</v>
      </c>
      <c r="AP133" s="81">
        <f t="shared" si="94"/>
        <v>23.335605340572531</v>
      </c>
      <c r="AR133" s="58">
        <v>0.53164341188737707</v>
      </c>
      <c r="AS133" s="80">
        <v>9.5530583446859225</v>
      </c>
      <c r="AT133" s="80">
        <v>23.335605340572531</v>
      </c>
      <c r="AU133" s="140"/>
      <c r="AV133" s="49">
        <f t="shared" si="95"/>
        <v>0.10335658811262294</v>
      </c>
      <c r="AW133" s="162">
        <f t="shared" si="96"/>
        <v>1.0335658811262294E-4</v>
      </c>
      <c r="AX133" s="10">
        <f t="shared" si="97"/>
        <v>44</v>
      </c>
      <c r="AY133" s="55">
        <f t="shared" si="98"/>
        <v>3.7882256675038557E-3</v>
      </c>
      <c r="AZ133" s="55">
        <f t="shared" si="99"/>
        <v>2.2244425528501794E-3</v>
      </c>
      <c r="BB133" s="58">
        <v>0.10335658811262294</v>
      </c>
      <c r="BC133" s="167">
        <v>1.0335658811262294E-4</v>
      </c>
      <c r="BD133" s="168">
        <v>44</v>
      </c>
      <c r="BE133" s="170">
        <v>3.7882256675038557E-3</v>
      </c>
      <c r="BF133" s="171">
        <v>2.2244425528501794E-3</v>
      </c>
      <c r="BH133" s="81">
        <f t="shared" si="104"/>
        <v>349.96369475421045</v>
      </c>
      <c r="BI133" s="80">
        <v>349.96369475421045</v>
      </c>
      <c r="BK133" s="81">
        <f t="shared" si="105"/>
        <v>56.805467951958519</v>
      </c>
      <c r="BL133" s="81">
        <f t="shared" si="106"/>
        <v>44.04314102959092</v>
      </c>
      <c r="BM133" s="81">
        <f t="shared" si="107"/>
        <v>12.762326922367599</v>
      </c>
      <c r="BN133" s="192">
        <f t="shared" si="108"/>
        <v>0.22466722628112043</v>
      </c>
      <c r="BO133" s="81">
        <f t="shared" si="109"/>
        <v>44</v>
      </c>
      <c r="BP133" s="49">
        <f t="shared" si="110"/>
        <v>9.8853579563692993</v>
      </c>
      <c r="BQ133" s="82">
        <f t="shared" si="111"/>
        <v>4443.97089225936</v>
      </c>
      <c r="BS133" s="193">
        <v>4443.97089225936</v>
      </c>
    </row>
    <row r="134" spans="1:71" x14ac:dyDescent="0.25">
      <c r="A134">
        <v>17</v>
      </c>
      <c r="B134" s="1" t="s">
        <v>58</v>
      </c>
      <c r="C134" s="15" t="s">
        <v>59</v>
      </c>
      <c r="D134" s="16" t="s">
        <v>60</v>
      </c>
      <c r="E134" s="4" t="s">
        <v>61</v>
      </c>
      <c r="F134" s="33" t="s">
        <v>111</v>
      </c>
      <c r="G134" s="29">
        <v>0.37777777777777777</v>
      </c>
      <c r="H134" s="28">
        <v>10</v>
      </c>
      <c r="I134" s="28">
        <v>71</v>
      </c>
      <c r="J134" s="36" t="s">
        <v>86</v>
      </c>
      <c r="K134" s="10">
        <v>9</v>
      </c>
      <c r="L134" s="47">
        <f t="shared" si="112"/>
        <v>101216.9283556498</v>
      </c>
      <c r="M134" s="10">
        <f t="shared" si="91"/>
        <v>1.0121692835564979</v>
      </c>
      <c r="N134" s="10" t="s">
        <v>15</v>
      </c>
      <c r="O134" s="10">
        <f>_xll.HumidairTdbRHPsi(H134,I134,M134,N134)</f>
        <v>5.4257192145150323E-3</v>
      </c>
      <c r="P134" s="49">
        <f t="shared" si="92"/>
        <v>5.4257192145150324</v>
      </c>
      <c r="Q134" s="31"/>
      <c r="R134" s="58">
        <v>5.4257192145150324</v>
      </c>
      <c r="S134" s="4"/>
      <c r="T134" s="10">
        <v>17</v>
      </c>
      <c r="U134" s="10" t="s">
        <v>144</v>
      </c>
      <c r="V134" s="78">
        <f>_xll.HumidairTdbRHPsi(H134, I134,M134,U134)</f>
        <v>4.9901665399059993</v>
      </c>
      <c r="W134" s="79">
        <v>4.9901665399059993</v>
      </c>
      <c r="X134" s="4"/>
      <c r="Y134" s="10">
        <v>17</v>
      </c>
      <c r="Z134" s="10" t="s">
        <v>145</v>
      </c>
      <c r="AA134" s="78">
        <f>_xll.HumidairTdbRHPsi(H134,I134,M134,Z134)</f>
        <v>23.723808211789493</v>
      </c>
      <c r="AB134" s="81">
        <f t="shared" si="101"/>
        <v>60.723808211789489</v>
      </c>
      <c r="AC134" s="80">
        <v>60.723808211789489</v>
      </c>
      <c r="AE134" s="10" t="s">
        <v>146</v>
      </c>
      <c r="AF134" s="78">
        <f>_xll.HumidairTdbRHPsi(H134,I134,M134,AE134)</f>
        <v>10.059447244974104</v>
      </c>
      <c r="AG134" s="81">
        <f t="shared" si="102"/>
        <v>47.059447244974102</v>
      </c>
      <c r="AH134" s="80">
        <v>47.059447244974102</v>
      </c>
      <c r="AJ134" s="10" t="s">
        <v>150</v>
      </c>
      <c r="AK134" s="84">
        <f>_xll.HumidairTdbRHPsi(H134,I134,M134,AJ134)</f>
        <v>0.80265357180775265</v>
      </c>
      <c r="AL134" s="58">
        <v>0.80265357180775265</v>
      </c>
      <c r="AN134" s="48">
        <f t="shared" si="93"/>
        <v>0.52924936870787875</v>
      </c>
      <c r="AO134" s="81">
        <f t="shared" si="103"/>
        <v>10.251725434763399</v>
      </c>
      <c r="AP134" s="81">
        <f t="shared" si="94"/>
        <v>25.04226501857644</v>
      </c>
      <c r="AR134" s="58">
        <v>0.52924936870787875</v>
      </c>
      <c r="AS134" s="80">
        <v>10.251725434763399</v>
      </c>
      <c r="AT134" s="80">
        <v>25.04226501857644</v>
      </c>
      <c r="AU134" s="140"/>
      <c r="AV134" s="49">
        <f t="shared" si="95"/>
        <v>0.10575063129212126</v>
      </c>
      <c r="AW134" s="162">
        <f t="shared" si="96"/>
        <v>1.0575063129212126E-4</v>
      </c>
      <c r="AX134" s="10">
        <f t="shared" si="97"/>
        <v>47</v>
      </c>
      <c r="AY134" s="55">
        <f t="shared" si="98"/>
        <v>4.1402429657178396E-3</v>
      </c>
      <c r="AZ134" s="55">
        <f t="shared" si="99"/>
        <v>2.4311467796346679E-3</v>
      </c>
      <c r="BB134" s="58">
        <v>0.10575063129212126</v>
      </c>
      <c r="BC134" s="167">
        <v>1.0575063129212126E-4</v>
      </c>
      <c r="BD134" s="168">
        <v>47</v>
      </c>
      <c r="BE134" s="170">
        <v>4.1402429657178396E-3</v>
      </c>
      <c r="BF134" s="171">
        <v>2.4311467796346679E-3</v>
      </c>
      <c r="BH134" s="81">
        <f t="shared" si="104"/>
        <v>348.38777341715479</v>
      </c>
      <c r="BI134" s="80">
        <v>348.38777341715479</v>
      </c>
      <c r="BK134" s="81">
        <f t="shared" si="105"/>
        <v>60.723808211789489</v>
      </c>
      <c r="BL134" s="81">
        <f t="shared" si="106"/>
        <v>47.059447244974102</v>
      </c>
      <c r="BM134" s="81">
        <f t="shared" si="107"/>
        <v>13.664360966815387</v>
      </c>
      <c r="BN134" s="192">
        <f t="shared" si="108"/>
        <v>0.22502476984245628</v>
      </c>
      <c r="BO134" s="81">
        <f t="shared" si="109"/>
        <v>47</v>
      </c>
      <c r="BP134" s="49">
        <f t="shared" si="110"/>
        <v>10.576164182595445</v>
      </c>
      <c r="BQ134" s="82">
        <f t="shared" si="111"/>
        <v>4350.2779310530732</v>
      </c>
      <c r="BS134" s="193">
        <v>4350.2779310530732</v>
      </c>
    </row>
    <row r="135" spans="1:71" x14ac:dyDescent="0.25">
      <c r="A135">
        <v>18</v>
      </c>
      <c r="C135" s="9" t="s">
        <v>62</v>
      </c>
      <c r="D135" s="10" t="s">
        <v>63</v>
      </c>
      <c r="E135" s="11" t="s">
        <v>64</v>
      </c>
      <c r="F135" s="33">
        <v>44399</v>
      </c>
      <c r="G135" s="29">
        <v>0.46527777777777773</v>
      </c>
      <c r="H135" s="28">
        <v>8</v>
      </c>
      <c r="I135" s="28">
        <v>83</v>
      </c>
      <c r="J135" s="28" t="s">
        <v>86</v>
      </c>
      <c r="K135" s="10">
        <v>6</v>
      </c>
      <c r="L135" s="47">
        <f t="shared" si="112"/>
        <v>101252.94186124044</v>
      </c>
      <c r="M135" s="10">
        <f t="shared" si="91"/>
        <v>1.0125294186124043</v>
      </c>
      <c r="N135" s="10" t="s">
        <v>15</v>
      </c>
      <c r="O135" s="10">
        <f>_xll.HumidairTdbRHPsi(H135,I135,M135,N135)</f>
        <v>5.5403438049307823E-3</v>
      </c>
      <c r="P135" s="49">
        <f t="shared" si="92"/>
        <v>5.5403438049307825</v>
      </c>
      <c r="Q135" s="31"/>
      <c r="R135" s="58">
        <v>5.5403438049307825</v>
      </c>
      <c r="S135" s="4"/>
      <c r="T135" s="82">
        <v>18</v>
      </c>
      <c r="U135" s="10" t="s">
        <v>144</v>
      </c>
      <c r="V135" s="78">
        <f>_xll.HumidairTdbRHPsi(H135, I135,M135,U135)</f>
        <v>5.2927385375423341</v>
      </c>
      <c r="W135" s="79">
        <v>5.2927385375423341</v>
      </c>
      <c r="X135" s="4"/>
      <c r="Y135" s="82">
        <v>18</v>
      </c>
      <c r="Z135" s="10" t="s">
        <v>145</v>
      </c>
      <c r="AA135" s="78">
        <f>_xll.HumidairTdbRHPsi(H135,I135,M135,Z135)</f>
        <v>21.979551475202456</v>
      </c>
      <c r="AB135" s="81">
        <f t="shared" si="101"/>
        <v>58.979551475202456</v>
      </c>
      <c r="AC135" s="80">
        <v>58.979551475202456</v>
      </c>
      <c r="AE135" s="10" t="s">
        <v>146</v>
      </c>
      <c r="AF135" s="78">
        <f>_xll.HumidairTdbRHPsi(H135,I135,M135,AE135)</f>
        <v>8.0473693045741346</v>
      </c>
      <c r="AG135" s="81">
        <f t="shared" si="102"/>
        <v>45.047369304574133</v>
      </c>
      <c r="AH135" s="80">
        <v>45.047369304574133</v>
      </c>
      <c r="AJ135" s="10" t="s">
        <v>150</v>
      </c>
      <c r="AK135" s="84">
        <f>_xll.HumidairTdbRHPsi(H135,I135,M135,AJ135)</f>
        <v>0.79668220314932736</v>
      </c>
      <c r="AL135" s="58">
        <v>0.79668220314932736</v>
      </c>
      <c r="AN135" s="48">
        <f t="shared" si="93"/>
        <v>0.5332162492033895</v>
      </c>
      <c r="AO135" s="81">
        <f t="shared" si="103"/>
        <v>10.390425672900825</v>
      </c>
      <c r="AP135" s="81">
        <f t="shared" si="94"/>
        <v>25.38107316786602</v>
      </c>
      <c r="AR135" s="58">
        <v>0.5332162492033895</v>
      </c>
      <c r="AS135" s="80">
        <v>10.390425672900825</v>
      </c>
      <c r="AT135" s="80">
        <v>25.38107316786602</v>
      </c>
      <c r="AU135" s="140"/>
      <c r="AV135" s="49">
        <f t="shared" si="95"/>
        <v>0.10178375079661051</v>
      </c>
      <c r="AW135" s="162">
        <f t="shared" si="96"/>
        <v>1.0178375079661051E-4</v>
      </c>
      <c r="AX135" s="10">
        <f t="shared" si="97"/>
        <v>45</v>
      </c>
      <c r="AY135" s="55">
        <f t="shared" si="98"/>
        <v>3.8153638986109452E-3</v>
      </c>
      <c r="AZ135" s="55">
        <f t="shared" si="99"/>
        <v>2.2403780966593922E-3</v>
      </c>
      <c r="BB135" s="58">
        <v>0.10178375079661051</v>
      </c>
      <c r="BC135" s="167">
        <v>1.0178375079661051E-4</v>
      </c>
      <c r="BD135" s="168">
        <v>45</v>
      </c>
      <c r="BE135" s="170">
        <v>3.8153638986109452E-3</v>
      </c>
      <c r="BF135" s="171">
        <v>2.2403780966593922E-3</v>
      </c>
      <c r="BH135" s="81">
        <f t="shared" si="104"/>
        <v>350.99904278270367</v>
      </c>
      <c r="BI135" s="80">
        <v>350.99904278270367</v>
      </c>
      <c r="BK135" s="81">
        <f t="shared" si="105"/>
        <v>58.979551475202456</v>
      </c>
      <c r="BL135" s="81">
        <f t="shared" si="106"/>
        <v>45.047369304574133</v>
      </c>
      <c r="BM135" s="81">
        <f t="shared" si="107"/>
        <v>13.932182170628323</v>
      </c>
      <c r="BN135" s="192">
        <f t="shared" si="108"/>
        <v>0.23622055139713996</v>
      </c>
      <c r="BO135" s="81">
        <f t="shared" si="109"/>
        <v>45</v>
      </c>
      <c r="BP135" s="49">
        <f t="shared" si="110"/>
        <v>10.629924812871298</v>
      </c>
      <c r="BQ135" s="82">
        <f t="shared" si="111"/>
        <v>4744.7012755219685</v>
      </c>
      <c r="BS135" s="193">
        <v>4744.7012755219685</v>
      </c>
    </row>
    <row r="136" spans="1:71" x14ac:dyDescent="0.25">
      <c r="A136" s="5">
        <v>19</v>
      </c>
      <c r="B136" s="14"/>
      <c r="C136" s="15" t="s">
        <v>65</v>
      </c>
      <c r="D136" s="16" t="s">
        <v>66</v>
      </c>
      <c r="E136" s="4" t="s">
        <v>67</v>
      </c>
      <c r="F136" s="33">
        <v>44398</v>
      </c>
      <c r="G136" s="29">
        <v>0.83888888888888891</v>
      </c>
      <c r="H136" s="28">
        <v>3</v>
      </c>
      <c r="I136" s="28">
        <v>93</v>
      </c>
      <c r="J136" s="28" t="s">
        <v>85</v>
      </c>
      <c r="K136" s="10">
        <v>15</v>
      </c>
      <c r="L136" s="47">
        <f t="shared" si="112"/>
        <v>101144.93246061618</v>
      </c>
      <c r="M136" s="10">
        <f t="shared" si="91"/>
        <v>1.0114493246061618</v>
      </c>
      <c r="N136" s="10" t="s">
        <v>15</v>
      </c>
      <c r="O136" s="10">
        <f>_xll.HumidairTdbRHPsi(H136,I136,M136,N136)</f>
        <v>4.3828199047036736E-3</v>
      </c>
      <c r="P136" s="49">
        <f t="shared" si="92"/>
        <v>4.3828199047036733</v>
      </c>
      <c r="Q136" s="31"/>
      <c r="R136" s="58">
        <v>4.3828199047036733</v>
      </c>
      <c r="S136" s="4"/>
      <c r="T136" s="82">
        <v>19</v>
      </c>
      <c r="U136" s="10" t="s">
        <v>144</v>
      </c>
      <c r="V136" s="78">
        <f>_xll.HumidairTdbRHPsi(H136, I136,M136,U136)</f>
        <v>1.980399117242996</v>
      </c>
      <c r="W136" s="79">
        <v>1.980399117242996</v>
      </c>
      <c r="X136" s="4"/>
      <c r="Y136" s="82">
        <v>19</v>
      </c>
      <c r="Z136" s="10" t="s">
        <v>145</v>
      </c>
      <c r="AA136" s="78">
        <f>_xll.HumidairTdbRHPsi(H136,I136,M136,Z136)</f>
        <v>13.998804714911333</v>
      </c>
      <c r="AB136" s="81">
        <f t="shared" si="101"/>
        <v>50.99880471491133</v>
      </c>
      <c r="AC136" s="80">
        <v>50.99880471491133</v>
      </c>
      <c r="AE136" s="10" t="s">
        <v>146</v>
      </c>
      <c r="AF136" s="78">
        <f>_xll.HumidairTdbRHPsi(H136,I136,M136,AE136)</f>
        <v>3.01804962212965</v>
      </c>
      <c r="AG136" s="81">
        <f t="shared" si="102"/>
        <v>40.018049622129652</v>
      </c>
      <c r="AH136" s="80">
        <v>40.018049622129652</v>
      </c>
      <c r="AJ136" s="10" t="s">
        <v>150</v>
      </c>
      <c r="AK136" s="84">
        <f>_xll.HumidairTdbRHPsi(H136,I136,M136,AJ136)</f>
        <v>0.78330263300624492</v>
      </c>
      <c r="AL136" s="58">
        <v>0.78330263300624492</v>
      </c>
      <c r="AN136" s="48">
        <f t="shared" si="93"/>
        <v>0.54232410089063288</v>
      </c>
      <c r="AO136" s="81">
        <f t="shared" si="103"/>
        <v>8.0815510457786743</v>
      </c>
      <c r="AP136" s="81">
        <f t="shared" si="94"/>
        <v>19.741100592030623</v>
      </c>
      <c r="AR136" s="58">
        <v>0.54232410089063288</v>
      </c>
      <c r="AS136" s="80">
        <v>8.0815510457786743</v>
      </c>
      <c r="AT136" s="80">
        <v>19.741100592030623</v>
      </c>
      <c r="AU136" s="140"/>
      <c r="AV136" s="49">
        <f t="shared" si="95"/>
        <v>9.2675899109367132E-2</v>
      </c>
      <c r="AW136" s="162">
        <f t="shared" si="96"/>
        <v>9.2675899109367134E-5</v>
      </c>
      <c r="AX136" s="10">
        <f t="shared" si="97"/>
        <v>40</v>
      </c>
      <c r="AY136" s="55">
        <f t="shared" si="98"/>
        <v>3.0879609583241126E-3</v>
      </c>
      <c r="AZ136" s="55">
        <f t="shared" si="99"/>
        <v>1.8132477735314813E-3</v>
      </c>
      <c r="BB136" s="58">
        <v>9.2675899109367132E-2</v>
      </c>
      <c r="BC136" s="167">
        <v>9.2675899109367134E-5</v>
      </c>
      <c r="BD136" s="168">
        <v>40</v>
      </c>
      <c r="BE136" s="170">
        <v>3.0879609583241126E-3</v>
      </c>
      <c r="BF136" s="171">
        <v>1.8132477735314813E-3</v>
      </c>
      <c r="BH136" s="81">
        <f t="shared" si="104"/>
        <v>356.99444751540869</v>
      </c>
      <c r="BI136" s="80">
        <v>356.99444751540869</v>
      </c>
      <c r="BK136" s="81">
        <f t="shared" si="105"/>
        <v>50.99880471491133</v>
      </c>
      <c r="BL136" s="81">
        <f t="shared" si="106"/>
        <v>40.018049622129652</v>
      </c>
      <c r="BM136" s="81">
        <f t="shared" si="107"/>
        <v>10.980755092781678</v>
      </c>
      <c r="BN136" s="192">
        <f t="shared" si="108"/>
        <v>0.2153139696933144</v>
      </c>
      <c r="BO136" s="81">
        <f t="shared" si="109"/>
        <v>40</v>
      </c>
      <c r="BP136" s="49">
        <f t="shared" si="110"/>
        <v>8.612558787732576</v>
      </c>
      <c r="BQ136" s="82">
        <f t="shared" si="111"/>
        <v>4749.796973945131</v>
      </c>
      <c r="BS136" s="193">
        <v>4749.796973945131</v>
      </c>
    </row>
    <row r="137" spans="1:71" x14ac:dyDescent="0.25">
      <c r="A137" s="5">
        <v>20</v>
      </c>
      <c r="B137" s="17" t="s">
        <v>68</v>
      </c>
      <c r="C137" s="9" t="s">
        <v>69</v>
      </c>
      <c r="D137" s="10" t="s">
        <v>70</v>
      </c>
      <c r="E137" s="18" t="s">
        <v>71</v>
      </c>
      <c r="F137" s="33">
        <v>44399</v>
      </c>
      <c r="G137" s="29">
        <v>0.46458333333333335</v>
      </c>
      <c r="H137" s="28">
        <v>-27</v>
      </c>
      <c r="I137" s="28">
        <v>30</v>
      </c>
      <c r="J137" s="28" t="s">
        <v>85</v>
      </c>
      <c r="K137" s="10">
        <v>10</v>
      </c>
      <c r="L137" s="47">
        <f t="shared" si="112"/>
        <v>101204.92615896827</v>
      </c>
      <c r="M137" s="10">
        <f t="shared" si="91"/>
        <v>1.0120492615896828</v>
      </c>
      <c r="N137" s="10" t="s">
        <v>15</v>
      </c>
      <c r="O137" s="55">
        <f>_xll.HumidairTdbRHPsi(H137,I137,M137,N137)</f>
        <v>9.5856846969889824E-5</v>
      </c>
      <c r="P137" s="49">
        <f t="shared" si="92"/>
        <v>9.5856846969889831E-2</v>
      </c>
      <c r="Q137" s="31"/>
      <c r="R137" s="58">
        <v>9.5856846969889831E-2</v>
      </c>
      <c r="S137" s="4"/>
      <c r="T137" s="82">
        <v>20</v>
      </c>
      <c r="U137" s="10" t="s">
        <v>144</v>
      </c>
      <c r="V137" s="78">
        <f>_xll.HumidairTdbRHPsi(H137, I137,M137,U137)</f>
        <v>-38.318636275933528</v>
      </c>
      <c r="W137" s="80">
        <v>-38.318636275933528</v>
      </c>
      <c r="X137" s="4"/>
      <c r="Y137" s="82">
        <v>20</v>
      </c>
      <c r="Z137" s="10" t="s">
        <v>145</v>
      </c>
      <c r="AA137" s="78">
        <f>_xll.HumidairTdbRHPsi(H137,I137,M137,Z137)</f>
        <v>-26.919360780452063</v>
      </c>
      <c r="AB137" s="81">
        <f t="shared" si="101"/>
        <v>10.080639219547937</v>
      </c>
      <c r="AC137" s="80">
        <v>10.080639219547937</v>
      </c>
      <c r="AE137" s="10" t="s">
        <v>146</v>
      </c>
      <c r="AF137" s="78">
        <f>_xll.HumidairTdbRHPsi(H137,I137,M137,AE137)</f>
        <v>-27.154202509683412</v>
      </c>
      <c r="AG137" s="81">
        <f t="shared" si="102"/>
        <v>9.8457974903165884</v>
      </c>
      <c r="AH137" s="80">
        <v>9.8457974903165884</v>
      </c>
      <c r="AJ137" s="10" t="s">
        <v>150</v>
      </c>
      <c r="AK137" s="84">
        <f>_xll.HumidairTdbRHPsi(H137,I137,M137,AJ137)</f>
        <v>0.6974612689913301</v>
      </c>
      <c r="AL137" s="58">
        <v>0.6974612689913301</v>
      </c>
      <c r="AN137" s="48">
        <f t="shared" si="93"/>
        <v>0.60907166470294383</v>
      </c>
      <c r="AO137" s="81">
        <f t="shared" si="103"/>
        <v>0.1573818854578321</v>
      </c>
      <c r="AP137" s="81">
        <f t="shared" si="94"/>
        <v>0.38444249310401402</v>
      </c>
      <c r="AR137" s="58">
        <v>0.60907166470294383</v>
      </c>
      <c r="AS137" s="80">
        <v>0.1573818854578321</v>
      </c>
      <c r="AT137" s="80">
        <v>0.38444249310401402</v>
      </c>
      <c r="AU137" s="140"/>
      <c r="AV137" s="49">
        <f t="shared" si="95"/>
        <v>2.5928335297056182E-2</v>
      </c>
      <c r="AW137" s="162">
        <f t="shared" si="96"/>
        <v>2.5928335297056182E-5</v>
      </c>
      <c r="AX137" s="10">
        <f t="shared" si="97"/>
        <v>10</v>
      </c>
      <c r="AY137" s="55">
        <f t="shared" si="98"/>
        <v>2.1598303302447798E-4</v>
      </c>
      <c r="AZ137" s="55">
        <f t="shared" si="99"/>
        <v>1.2682503407191896E-4</v>
      </c>
      <c r="BB137" s="58">
        <v>2.5928335297056182E-2</v>
      </c>
      <c r="BC137" s="167">
        <v>2.5928335297056182E-5</v>
      </c>
      <c r="BD137" s="168">
        <v>10</v>
      </c>
      <c r="BE137" s="170">
        <v>2.1598303302447798E-4</v>
      </c>
      <c r="BF137" s="171">
        <v>1.2682503407191896E-4</v>
      </c>
      <c r="BH137" s="81">
        <f t="shared" si="104"/>
        <v>400.93221393044178</v>
      </c>
      <c r="BI137" s="80">
        <v>400.93221393044178</v>
      </c>
      <c r="BK137" s="78">
        <f t="shared" ref="BK137" si="113">+AB137</f>
        <v>10.080639219547937</v>
      </c>
      <c r="BL137" s="81">
        <f t="shared" ref="BL137" si="114">+AG137</f>
        <v>9.8457974903165884</v>
      </c>
      <c r="BM137" s="81">
        <f t="shared" ref="BM137" si="115">+BK137-BL137</f>
        <v>0.23484172923134849</v>
      </c>
      <c r="BN137" s="192">
        <f t="shared" ref="BN137" si="116">+BM137/BK137</f>
        <v>2.3296313271082416E-2</v>
      </c>
      <c r="BO137" s="81">
        <v>0</v>
      </c>
      <c r="BP137" s="49">
        <f t="shared" ref="BP137" si="117">+BN137*BO137*-1</f>
        <v>0</v>
      </c>
      <c r="BQ137" s="82"/>
      <c r="BS137" s="9"/>
    </row>
    <row r="139" spans="1:71" x14ac:dyDescent="0.25">
      <c r="AN139" s="4" t="s">
        <v>230</v>
      </c>
    </row>
    <row r="140" spans="1:71" x14ac:dyDescent="0.25">
      <c r="AH140" s="197"/>
      <c r="AK140" s="86" t="s">
        <v>156</v>
      </c>
      <c r="AN140" s="4">
        <v>414.34</v>
      </c>
      <c r="AO140" s="139" t="s">
        <v>231</v>
      </c>
      <c r="AX140" s="4" t="s">
        <v>192</v>
      </c>
      <c r="AY140" s="27" t="s">
        <v>271</v>
      </c>
      <c r="AZ140" s="86" t="s">
        <v>156</v>
      </c>
      <c r="BD140" s="70" t="s">
        <v>192</v>
      </c>
      <c r="BE140" s="70" t="s">
        <v>271</v>
      </c>
      <c r="BF140" s="83"/>
      <c r="BH140" s="27" t="s">
        <v>233</v>
      </c>
      <c r="BI140" s="70" t="s">
        <v>233</v>
      </c>
      <c r="BK140" s="86" t="s">
        <v>156</v>
      </c>
      <c r="BQ140" s="4"/>
      <c r="BS140" s="83"/>
    </row>
    <row r="141" spans="1:71" x14ac:dyDescent="0.25">
      <c r="K141" s="2"/>
      <c r="M141" s="30"/>
      <c r="N141" s="25"/>
      <c r="O141" s="25"/>
      <c r="R141" s="65" t="s">
        <v>119</v>
      </c>
      <c r="T141" s="69"/>
      <c r="Y141" t="s">
        <v>166</v>
      </c>
      <c r="AB141" s="4"/>
      <c r="AC141" s="57"/>
      <c r="AG141" s="4"/>
      <c r="AH141" s="57"/>
      <c r="AK141" s="26" t="s">
        <v>192</v>
      </c>
      <c r="AL141" s="70" t="s">
        <v>192</v>
      </c>
      <c r="AN141" s="4">
        <v>1.8234799999999999E-2</v>
      </c>
      <c r="AO141" s="139" t="s">
        <v>176</v>
      </c>
      <c r="AX141" s="4" t="s">
        <v>193</v>
      </c>
      <c r="AY141" s="16" t="s">
        <v>193</v>
      </c>
      <c r="BD141" s="72" t="s">
        <v>193</v>
      </c>
      <c r="BE141" s="72" t="s">
        <v>193</v>
      </c>
      <c r="BF141" s="83"/>
      <c r="BH141" s="16" t="s">
        <v>255</v>
      </c>
      <c r="BI141" s="72" t="s">
        <v>255</v>
      </c>
      <c r="BQ141" s="27" t="s">
        <v>306</v>
      </c>
      <c r="BS141" s="70" t="s">
        <v>306</v>
      </c>
    </row>
    <row r="142" spans="1:71" x14ac:dyDescent="0.25">
      <c r="B142" s="39" t="s">
        <v>119</v>
      </c>
      <c r="C142" s="2"/>
      <c r="G142" s="51"/>
      <c r="I142" s="52"/>
      <c r="P142" s="27" t="s">
        <v>72</v>
      </c>
      <c r="R142" s="203" t="s">
        <v>72</v>
      </c>
      <c r="T142" t="s">
        <v>140</v>
      </c>
      <c r="AA142" s="71" t="s">
        <v>134</v>
      </c>
      <c r="AB142" s="27" t="s">
        <v>300</v>
      </c>
      <c r="AC142" s="70" t="s">
        <v>300</v>
      </c>
      <c r="AF142" s="71" t="s">
        <v>134</v>
      </c>
      <c r="AG142" s="27" t="s">
        <v>314</v>
      </c>
      <c r="AH142" s="70" t="s">
        <v>314</v>
      </c>
      <c r="AK142" s="15" t="s">
        <v>147</v>
      </c>
      <c r="AL142" s="72" t="s">
        <v>147</v>
      </c>
      <c r="AN142" s="4">
        <v>1.8405999999999999E-2</v>
      </c>
      <c r="AO142" t="s">
        <v>232</v>
      </c>
      <c r="AQ142" t="s">
        <v>187</v>
      </c>
      <c r="AS142" s="176" t="s">
        <v>315</v>
      </c>
      <c r="AT142" s="87" t="s">
        <v>317</v>
      </c>
      <c r="AV142" s="163" t="s">
        <v>270</v>
      </c>
      <c r="AX142" s="4">
        <v>0.83299999999999996</v>
      </c>
      <c r="AY142" s="16" t="s">
        <v>272</v>
      </c>
      <c r="AZ142" s="27" t="s">
        <v>274</v>
      </c>
      <c r="BB142" s="70" t="s">
        <v>270</v>
      </c>
      <c r="BD142" s="72">
        <v>0.83299999999999996</v>
      </c>
      <c r="BE142" s="72" t="s">
        <v>272</v>
      </c>
      <c r="BF142" s="70" t="s">
        <v>274</v>
      </c>
      <c r="BH142" s="16" t="s">
        <v>282</v>
      </c>
      <c r="BI142" s="72" t="s">
        <v>282</v>
      </c>
      <c r="BK142" s="27" t="s">
        <v>297</v>
      </c>
      <c r="BL142" s="27" t="s">
        <v>299</v>
      </c>
      <c r="BM142" s="26" t="s">
        <v>301</v>
      </c>
      <c r="BO142" s="163" t="s">
        <v>304</v>
      </c>
      <c r="BQ142" s="16" t="s">
        <v>291</v>
      </c>
      <c r="BS142" s="72" t="s">
        <v>291</v>
      </c>
    </row>
    <row r="143" spans="1:71" x14ac:dyDescent="0.25">
      <c r="G143" s="4" t="s">
        <v>0</v>
      </c>
      <c r="K143" s="4" t="s">
        <v>1</v>
      </c>
      <c r="L143" s="4" t="s">
        <v>2</v>
      </c>
      <c r="O143" s="4" t="s">
        <v>72</v>
      </c>
      <c r="P143" s="16" t="s">
        <v>81</v>
      </c>
      <c r="Q143" s="4"/>
      <c r="R143" s="72" t="s">
        <v>81</v>
      </c>
      <c r="V143" s="26" t="s">
        <v>310</v>
      </c>
      <c r="W143" s="87" t="s">
        <v>310</v>
      </c>
      <c r="AA143" s="73" t="s">
        <v>141</v>
      </c>
      <c r="AB143" s="16" t="s">
        <v>141</v>
      </c>
      <c r="AC143" s="72" t="s">
        <v>141</v>
      </c>
      <c r="AF143" s="42" t="s">
        <v>141</v>
      </c>
      <c r="AG143" s="16" t="s">
        <v>141</v>
      </c>
      <c r="AH143" s="72" t="s">
        <v>141</v>
      </c>
      <c r="AK143" s="15" t="s">
        <v>148</v>
      </c>
      <c r="AL143" s="72" t="s">
        <v>148</v>
      </c>
      <c r="AN143" s="27" t="s">
        <v>235</v>
      </c>
      <c r="AO143" s="27" t="s">
        <v>233</v>
      </c>
      <c r="AP143" s="27" t="s">
        <v>233</v>
      </c>
      <c r="AR143" s="176" t="s">
        <v>320</v>
      </c>
      <c r="AS143" s="199" t="s">
        <v>316</v>
      </c>
      <c r="AT143" s="72" t="s">
        <v>318</v>
      </c>
      <c r="AV143" s="73" t="s">
        <v>275</v>
      </c>
      <c r="AW143" s="163" t="s">
        <v>270</v>
      </c>
      <c r="AY143" s="16" t="s">
        <v>251</v>
      </c>
      <c r="AZ143" s="16">
        <v>1.7030000000000001</v>
      </c>
      <c r="BB143" s="72" t="s">
        <v>275</v>
      </c>
      <c r="BC143" s="176" t="s">
        <v>270</v>
      </c>
      <c r="BD143" s="74"/>
      <c r="BE143" s="72" t="s">
        <v>251</v>
      </c>
      <c r="BF143" s="72">
        <v>1.7030000000000001</v>
      </c>
      <c r="BH143" s="173" t="s">
        <v>187</v>
      </c>
      <c r="BI143" s="72" t="s">
        <v>187</v>
      </c>
      <c r="BK143" s="16" t="s">
        <v>298</v>
      </c>
      <c r="BL143" s="16" t="s">
        <v>298</v>
      </c>
      <c r="BM143" s="16" t="s">
        <v>300</v>
      </c>
      <c r="BO143" s="16" t="s">
        <v>303</v>
      </c>
      <c r="BP143" s="161" t="s">
        <v>296</v>
      </c>
      <c r="BQ143" s="16" t="s">
        <v>292</v>
      </c>
      <c r="BS143" s="72" t="s">
        <v>292</v>
      </c>
    </row>
    <row r="144" spans="1:71" ht="17.25" x14ac:dyDescent="0.25">
      <c r="A144" s="5"/>
      <c r="B144" s="5"/>
      <c r="C144" t="s">
        <v>3</v>
      </c>
      <c r="D144" t="s">
        <v>4</v>
      </c>
      <c r="E144" t="s">
        <v>5</v>
      </c>
      <c r="F144" s="4" t="s">
        <v>6</v>
      </c>
      <c r="G144" s="6" t="s">
        <v>7</v>
      </c>
      <c r="H144" s="4" t="s">
        <v>98</v>
      </c>
      <c r="I144" s="4" t="s">
        <v>99</v>
      </c>
      <c r="J144" s="4" t="s">
        <v>74</v>
      </c>
      <c r="K144" s="7" t="s">
        <v>163</v>
      </c>
      <c r="L144" s="7" t="s">
        <v>8</v>
      </c>
      <c r="M144" s="4" t="s">
        <v>9</v>
      </c>
      <c r="N144" s="4" t="s">
        <v>10</v>
      </c>
      <c r="O144" s="4" t="s">
        <v>11</v>
      </c>
      <c r="P144" s="13" t="s">
        <v>82</v>
      </c>
      <c r="Q144" s="4"/>
      <c r="R144" s="77" t="s">
        <v>82</v>
      </c>
      <c r="S144" s="4"/>
      <c r="T144" s="10" t="s">
        <v>142</v>
      </c>
      <c r="U144" s="18" t="s">
        <v>10</v>
      </c>
      <c r="V144" s="13" t="s">
        <v>273</v>
      </c>
      <c r="W144" s="77" t="s">
        <v>311</v>
      </c>
      <c r="X144" s="4"/>
      <c r="Y144" s="10" t="s">
        <v>142</v>
      </c>
      <c r="Z144" s="18" t="s">
        <v>10</v>
      </c>
      <c r="AA144" s="76" t="s">
        <v>143</v>
      </c>
      <c r="AB144" s="13" t="s">
        <v>312</v>
      </c>
      <c r="AC144" s="72" t="s">
        <v>312</v>
      </c>
      <c r="AE144" s="9" t="s">
        <v>10</v>
      </c>
      <c r="AF144" s="76" t="s">
        <v>82</v>
      </c>
      <c r="AG144" s="13" t="s">
        <v>313</v>
      </c>
      <c r="AH144" s="77" t="s">
        <v>313</v>
      </c>
      <c r="AI144" s="4"/>
      <c r="AJ144" s="32" t="s">
        <v>10</v>
      </c>
      <c r="AK144" s="12" t="s">
        <v>149</v>
      </c>
      <c r="AL144" s="77" t="s">
        <v>149</v>
      </c>
      <c r="AM144" s="62"/>
      <c r="AN144" s="13" t="s">
        <v>230</v>
      </c>
      <c r="AO144" s="13" t="s">
        <v>177</v>
      </c>
      <c r="AP144" s="13" t="s">
        <v>234</v>
      </c>
      <c r="AR144" s="177" t="s">
        <v>321</v>
      </c>
      <c r="AS144" s="177" t="s">
        <v>232</v>
      </c>
      <c r="AT144" s="77" t="s">
        <v>319</v>
      </c>
      <c r="AV144" s="166" t="s">
        <v>149</v>
      </c>
      <c r="AW144" s="13" t="s">
        <v>276</v>
      </c>
      <c r="AX144" s="164" t="s">
        <v>186</v>
      </c>
      <c r="AY144" s="13" t="s">
        <v>82</v>
      </c>
      <c r="AZ144" s="13" t="s">
        <v>273</v>
      </c>
      <c r="BB144" s="77" t="s">
        <v>149</v>
      </c>
      <c r="BC144" s="177" t="s">
        <v>276</v>
      </c>
      <c r="BD144" s="77" t="s">
        <v>186</v>
      </c>
      <c r="BE144" s="77" t="s">
        <v>82</v>
      </c>
      <c r="BF144" s="77" t="s">
        <v>277</v>
      </c>
      <c r="BH144" s="13">
        <v>418</v>
      </c>
      <c r="BI144" s="77">
        <v>418</v>
      </c>
      <c r="BK144" s="13" t="s">
        <v>250</v>
      </c>
      <c r="BL144" s="13" t="s">
        <v>250</v>
      </c>
      <c r="BM144" s="13" t="s">
        <v>295</v>
      </c>
      <c r="BN144" s="18" t="s">
        <v>302</v>
      </c>
      <c r="BO144" s="13" t="s">
        <v>189</v>
      </c>
      <c r="BP144" s="76" t="s">
        <v>277</v>
      </c>
      <c r="BQ144" s="13" t="s">
        <v>305</v>
      </c>
      <c r="BS144" s="77" t="s">
        <v>305</v>
      </c>
    </row>
    <row r="145" spans="1:71" x14ac:dyDescent="0.25">
      <c r="A145">
        <v>1</v>
      </c>
      <c r="C145" s="9" t="s">
        <v>12</v>
      </c>
      <c r="D145" s="10" t="s">
        <v>13</v>
      </c>
      <c r="E145" s="32" t="s">
        <v>14</v>
      </c>
      <c r="F145" s="33">
        <v>44429</v>
      </c>
      <c r="G145" s="29">
        <v>0.92013888888888884</v>
      </c>
      <c r="H145" s="28">
        <v>4</v>
      </c>
      <c r="I145" s="28">
        <v>100</v>
      </c>
      <c r="J145" s="28" t="s">
        <v>125</v>
      </c>
      <c r="K145" s="10">
        <v>32</v>
      </c>
      <c r="L145" s="47">
        <f>+((101325*(1-(2.25577*10^-5)*(K145))^5.25588))</f>
        <v>100941.16925190832</v>
      </c>
      <c r="M145" s="10">
        <f t="shared" ref="M145:M164" si="118">+L145/100000</f>
        <v>1.0094116925190832</v>
      </c>
      <c r="N145" s="10" t="s">
        <v>15</v>
      </c>
      <c r="O145" s="10">
        <f>_xll.HumidairTdbRHPsi(H145,I145,M145,N145)</f>
        <v>5.0731834599058003E-3</v>
      </c>
      <c r="P145" s="49">
        <f t="shared" ref="P145:P158" si="119">+O145*1000</f>
        <v>5.0731834599057999</v>
      </c>
      <c r="Q145" s="31"/>
      <c r="R145" s="58">
        <v>5.0731834599057999</v>
      </c>
      <c r="S145" s="4"/>
      <c r="T145" s="10">
        <v>1</v>
      </c>
      <c r="U145" s="10" t="s">
        <v>144</v>
      </c>
      <c r="V145" s="78">
        <f>_xll.HumidairTdbRHPsi(H145, I145,M145,U145)</f>
        <v>4</v>
      </c>
      <c r="W145" s="79">
        <v>4</v>
      </c>
      <c r="X145" s="4"/>
      <c r="Y145" s="10">
        <v>1</v>
      </c>
      <c r="Z145" s="10" t="s">
        <v>145</v>
      </c>
      <c r="AA145" s="78">
        <f>_xll.HumidairTdbRHPsi(H145,I145,M145,Z145)</f>
        <v>16.744062576441628</v>
      </c>
      <c r="AB145" s="78">
        <f>+AA145+37</f>
        <v>53.744062576441628</v>
      </c>
      <c r="AC145" s="80">
        <v>53.744062576441628</v>
      </c>
      <c r="AE145" s="10" t="s">
        <v>146</v>
      </c>
      <c r="AF145" s="78">
        <f>_xll.HumidairTdbRHPsi(H145,I145,M145,AE145)</f>
        <v>4.0244811216248184</v>
      </c>
      <c r="AG145" s="78">
        <f>+AF145+37</f>
        <v>41.024481121624817</v>
      </c>
      <c r="AH145" s="80">
        <v>41.024481121624817</v>
      </c>
      <c r="AI145" s="4"/>
      <c r="AJ145" s="10" t="s">
        <v>150</v>
      </c>
      <c r="AK145" s="84">
        <f>_xll.HumidairTdbRHPsi(H145,I145,M145,AJ145)</f>
        <v>0.78773671016967206</v>
      </c>
      <c r="AL145" s="58">
        <v>0.78773671016967206</v>
      </c>
      <c r="AM145" s="62"/>
      <c r="AN145" s="49">
        <f t="shared" ref="AN145:AN164" si="120">+$AN$6*($AL$57/AL145)</f>
        <v>0.53927142240061132</v>
      </c>
      <c r="AO145" s="81">
        <f>+R145/AN145</f>
        <v>9.4074769201047292</v>
      </c>
      <c r="AP145" s="81">
        <f t="shared" ref="AP145:AP164" si="121">+AO145*(44.0059/18.015)</f>
        <v>22.979988265247663</v>
      </c>
      <c r="AR145" s="58">
        <v>0.53927142240061132</v>
      </c>
      <c r="AS145" s="80">
        <v>9.4074769201047292</v>
      </c>
      <c r="AT145" s="80">
        <v>22.979988265247663</v>
      </c>
      <c r="AU145" s="140"/>
      <c r="AV145" s="84">
        <f t="shared" ref="AV145:AV164" si="122">+$AN$57-AN145</f>
        <v>9.5728577599388687E-2</v>
      </c>
      <c r="AW145" s="165">
        <f t="shared" ref="AW145:AW164" si="123">+AV145/1000</f>
        <v>9.572857759938869E-5</v>
      </c>
      <c r="AX145" s="10">
        <f t="shared" ref="AX145:AX164" si="124">37+H145</f>
        <v>41</v>
      </c>
      <c r="AY145" s="55">
        <f t="shared" ref="AY145:AY164" si="125">+AW145*AX145*$AX$9</f>
        <v>3.2694181107519216E-3</v>
      </c>
      <c r="AZ145" s="55">
        <f t="shared" ref="AZ145:AZ164" si="126">+AY145/1.703</f>
        <v>1.9197992429547395E-3</v>
      </c>
      <c r="BB145" s="58">
        <v>9.5728577599388687E-2</v>
      </c>
      <c r="BC145" s="167">
        <v>9.572857759938869E-5</v>
      </c>
      <c r="BD145" s="168">
        <v>41</v>
      </c>
      <c r="BE145" s="168">
        <v>3.2694181107519216E-3</v>
      </c>
      <c r="BF145" s="169">
        <v>1.9197992429547395E-3</v>
      </c>
      <c r="BH145" s="81">
        <f>418*($AL$57/AL145)</f>
        <v>354.98496781646537</v>
      </c>
      <c r="BI145" s="80">
        <v>354.98496781646537</v>
      </c>
      <c r="BK145" s="81">
        <f>+AB145</f>
        <v>53.744062576441628</v>
      </c>
      <c r="BL145" s="81">
        <f>+AG145</f>
        <v>41.024481121624817</v>
      </c>
      <c r="BM145" s="81">
        <f>+BK145-BL145</f>
        <v>12.719581454816812</v>
      </c>
      <c r="BN145" s="192">
        <f>+BM145/BK145</f>
        <v>0.23666951929295274</v>
      </c>
      <c r="BO145" s="81">
        <f>+H145-$H$57</f>
        <v>41</v>
      </c>
      <c r="BP145" s="49">
        <f>+BN145*BO145</f>
        <v>9.7034502910110625</v>
      </c>
      <c r="BQ145" s="82">
        <f>+BP145/AZ145</f>
        <v>5054.4088537489997</v>
      </c>
      <c r="BS145" s="193">
        <v>5054.4088537489997</v>
      </c>
    </row>
    <row r="146" spans="1:71" x14ac:dyDescent="0.25">
      <c r="A146">
        <v>2</v>
      </c>
      <c r="B146" s="1" t="s">
        <v>16</v>
      </c>
      <c r="C146" s="12" t="s">
        <v>17</v>
      </c>
      <c r="D146" s="13" t="s">
        <v>18</v>
      </c>
      <c r="E146" s="11" t="s">
        <v>19</v>
      </c>
      <c r="F146" s="33">
        <v>44430</v>
      </c>
      <c r="G146" s="29">
        <v>0.46180555555555558</v>
      </c>
      <c r="H146" s="28">
        <v>9</v>
      </c>
      <c r="I146" s="28">
        <v>90</v>
      </c>
      <c r="J146" s="28" t="s">
        <v>104</v>
      </c>
      <c r="K146" s="10">
        <v>41</v>
      </c>
      <c r="L146" s="47">
        <f t="shared" ref="L146:L154" si="127">+((101325*(1-(2.25577*10^-5)*(K146))^5.25588))</f>
        <v>100833.42925724134</v>
      </c>
      <c r="M146" s="10">
        <f t="shared" si="118"/>
        <v>1.0083342925724135</v>
      </c>
      <c r="N146" s="10" t="s">
        <v>15</v>
      </c>
      <c r="O146" s="10">
        <f>_xll.HumidairTdbRHPsi(H146,I146,M146,N146)</f>
        <v>6.465287190435925E-3</v>
      </c>
      <c r="P146" s="49">
        <f t="shared" si="119"/>
        <v>6.4652871904359248</v>
      </c>
      <c r="Q146" s="31"/>
      <c r="R146" s="58">
        <v>6.4652871904359248</v>
      </c>
      <c r="S146" s="4"/>
      <c r="T146" s="10">
        <v>2</v>
      </c>
      <c r="U146" s="10" t="s">
        <v>144</v>
      </c>
      <c r="V146" s="78">
        <f>_xll.HumidairTdbRHPsi(H146, I146,M146,U146)</f>
        <v>7.449670899207149</v>
      </c>
      <c r="W146" s="79">
        <v>7.449670899207149</v>
      </c>
      <c r="X146" s="4"/>
      <c r="Y146" s="10">
        <v>2</v>
      </c>
      <c r="Z146" s="10" t="s">
        <v>145</v>
      </c>
      <c r="AA146" s="78">
        <f>_xll.HumidairTdbRHPsi(H146,I146,M146,Z146)</f>
        <v>25.324205548186232</v>
      </c>
      <c r="AB146" s="81">
        <f t="shared" ref="AB146:AB164" si="128">+AA146+37</f>
        <v>62.324205548186228</v>
      </c>
      <c r="AC146" s="80">
        <v>62.324205548186228</v>
      </c>
      <c r="AE146" s="10" t="s">
        <v>146</v>
      </c>
      <c r="AF146" s="78">
        <f>_xll.HumidairTdbRHPsi(H146,I146,M146,AE146)</f>
        <v>9.0544386258304463</v>
      </c>
      <c r="AG146" s="81">
        <f t="shared" ref="AG146:AG164" si="129">+AF146+37</f>
        <v>46.054438625830443</v>
      </c>
      <c r="AH146" s="80">
        <v>46.054438625830443</v>
      </c>
      <c r="AI146" s="4"/>
      <c r="AJ146" s="10" t="s">
        <v>150</v>
      </c>
      <c r="AK146" s="84">
        <f>_xll.HumidairTdbRHPsi(H146,I146,M146,AJ146)</f>
        <v>0.80285306601957218</v>
      </c>
      <c r="AL146" s="58">
        <v>0.80285306601957218</v>
      </c>
      <c r="AM146" s="62"/>
      <c r="AN146" s="49">
        <f t="shared" si="120"/>
        <v>0.52911785997965055</v>
      </c>
      <c r="AO146" s="81">
        <f t="shared" ref="AO146:AO164" si="130">+R146/AN146</f>
        <v>12.218992552405195</v>
      </c>
      <c r="AP146" s="81">
        <f t="shared" si="121"/>
        <v>29.847780425306006</v>
      </c>
      <c r="AR146" s="58">
        <v>0.52911785997965055</v>
      </c>
      <c r="AS146" s="80">
        <v>12.218992552405195</v>
      </c>
      <c r="AT146" s="80">
        <v>29.847780425306006</v>
      </c>
      <c r="AU146" s="140"/>
      <c r="AV146" s="49">
        <f t="shared" si="122"/>
        <v>0.10588214002034946</v>
      </c>
      <c r="AW146" s="162">
        <f t="shared" si="123"/>
        <v>1.0588214002034945E-4</v>
      </c>
      <c r="AX146" s="10">
        <f t="shared" si="124"/>
        <v>46</v>
      </c>
      <c r="AY146" s="55">
        <f t="shared" si="125"/>
        <v>4.0571918412997503E-3</v>
      </c>
      <c r="AZ146" s="55">
        <f t="shared" si="126"/>
        <v>2.3823792374044334E-3</v>
      </c>
      <c r="BB146" s="58">
        <v>0.10588214002034946</v>
      </c>
      <c r="BC146" s="167">
        <v>1.0588214002034945E-4</v>
      </c>
      <c r="BD146" s="168">
        <v>46</v>
      </c>
      <c r="BE146" s="170">
        <v>4.0571918412997503E-3</v>
      </c>
      <c r="BF146" s="169">
        <v>2.3823792374044334E-3</v>
      </c>
      <c r="BH146" s="81">
        <f t="shared" ref="BH146:BH164" si="131">418*($AL$57/AL146)</f>
        <v>348.30120546691955</v>
      </c>
      <c r="BI146" s="80">
        <v>348.30120546691955</v>
      </c>
      <c r="BK146" s="81">
        <f t="shared" ref="BK146:BK163" si="132">+AB146</f>
        <v>62.324205548186228</v>
      </c>
      <c r="BL146" s="81">
        <f t="shared" ref="BL146:BL163" si="133">+AG146</f>
        <v>46.054438625830443</v>
      </c>
      <c r="BM146" s="81">
        <f t="shared" ref="BM146:BM163" si="134">+BK146-BL146</f>
        <v>16.269766922355785</v>
      </c>
      <c r="BN146" s="192">
        <f t="shared" ref="BN146:BN163" si="135">+BM146/BK146</f>
        <v>0.26105053051621724</v>
      </c>
      <c r="BO146" s="81">
        <f t="shared" ref="BO146:BO163" si="136">+H146-$H$57</f>
        <v>46</v>
      </c>
      <c r="BP146" s="49">
        <f t="shared" ref="BP146:BP163" si="137">+BN146*BO146</f>
        <v>12.008324403745993</v>
      </c>
      <c r="BQ146" s="82">
        <f t="shared" ref="BQ146:BQ163" si="138">+BP146/AZ146</f>
        <v>5040.475594821286</v>
      </c>
      <c r="BS146" s="193">
        <v>5040.475594821286</v>
      </c>
    </row>
    <row r="147" spans="1:71" x14ac:dyDescent="0.25">
      <c r="A147">
        <v>3</v>
      </c>
      <c r="C147" s="12" t="s">
        <v>20</v>
      </c>
      <c r="D147" s="10" t="s">
        <v>21</v>
      </c>
      <c r="E147" s="11" t="s">
        <v>22</v>
      </c>
      <c r="F147" s="33">
        <v>44430</v>
      </c>
      <c r="G147" s="29">
        <v>0.17152777777777775</v>
      </c>
      <c r="H147" s="28">
        <v>6</v>
      </c>
      <c r="I147" s="28">
        <v>75</v>
      </c>
      <c r="J147" s="28" t="s">
        <v>86</v>
      </c>
      <c r="K147" s="10">
        <v>15</v>
      </c>
      <c r="L147" s="47">
        <f t="shared" si="127"/>
        <v>101144.93246061618</v>
      </c>
      <c r="M147" s="10">
        <f t="shared" si="118"/>
        <v>1.0114493246061618</v>
      </c>
      <c r="N147" s="10" t="s">
        <v>15</v>
      </c>
      <c r="O147" s="10">
        <f>_xll.HumidairTdbRHPsi(H147,I147,M147,N147)</f>
        <v>4.3606723457007236E-3</v>
      </c>
      <c r="P147" s="49">
        <f t="shared" si="119"/>
        <v>4.3606723457007233</v>
      </c>
      <c r="Q147" s="31"/>
      <c r="R147" s="58">
        <v>4.3606723457007233</v>
      </c>
      <c r="S147" s="4"/>
      <c r="T147" s="10">
        <v>3</v>
      </c>
      <c r="U147" s="10" t="s">
        <v>144</v>
      </c>
      <c r="V147" s="78">
        <f>_xll.HumidairTdbRHPsi(H147, I147,M147,U147)</f>
        <v>1.9100314632094637</v>
      </c>
      <c r="W147" s="79">
        <v>1.9100314632094637</v>
      </c>
      <c r="X147" s="4"/>
      <c r="Y147" s="10">
        <v>3</v>
      </c>
      <c r="Z147" s="10" t="s">
        <v>145</v>
      </c>
      <c r="AA147" s="78">
        <f>_xll.HumidairTdbRHPsi(H147,I147,M147,Z147)</f>
        <v>16.985559932452741</v>
      </c>
      <c r="AB147" s="81">
        <f t="shared" si="128"/>
        <v>53.985559932452745</v>
      </c>
      <c r="AC147" s="80">
        <v>53.985559932452745</v>
      </c>
      <c r="AE147" s="10" t="s">
        <v>146</v>
      </c>
      <c r="AF147" s="78">
        <f>_xll.HumidairTdbRHPsi(H147,I147,M147,AE147)</f>
        <v>6.0357536010525568</v>
      </c>
      <c r="AG147" s="81">
        <f t="shared" si="129"/>
        <v>43.035753601052555</v>
      </c>
      <c r="AH147" s="80">
        <v>43.035753601052555</v>
      </c>
      <c r="AI147" s="4"/>
      <c r="AJ147" s="10" t="s">
        <v>150</v>
      </c>
      <c r="AK147" s="84">
        <f>_xll.HumidairTdbRHPsi(H147,I147,M147,AJ147)</f>
        <v>0.79184128452611546</v>
      </c>
      <c r="AL147" s="58">
        <v>0.79184128452611546</v>
      </c>
      <c r="AM147" s="62"/>
      <c r="AN147" s="49">
        <f t="shared" si="120"/>
        <v>0.53647606467577003</v>
      </c>
      <c r="AO147" s="81">
        <f t="shared" si="130"/>
        <v>8.1283632818477791</v>
      </c>
      <c r="AP147" s="81">
        <f t="shared" si="121"/>
        <v>19.855450554796843</v>
      </c>
      <c r="AR147" s="58">
        <v>0.53647606467577003</v>
      </c>
      <c r="AS147" s="80">
        <v>8.1283632818477791</v>
      </c>
      <c r="AT147" s="80">
        <v>19.855450554796843</v>
      </c>
      <c r="AU147" s="140"/>
      <c r="AV147" s="49">
        <f t="shared" si="122"/>
        <v>9.8523935324229983E-2</v>
      </c>
      <c r="AW147" s="162">
        <f t="shared" si="123"/>
        <v>9.8523935324229978E-5</v>
      </c>
      <c r="AX147" s="10">
        <f t="shared" si="124"/>
        <v>43</v>
      </c>
      <c r="AY147" s="55">
        <f t="shared" si="125"/>
        <v>3.5290288393785936E-3</v>
      </c>
      <c r="AZ147" s="55">
        <f t="shared" si="126"/>
        <v>2.0722424188952399E-3</v>
      </c>
      <c r="BB147" s="58">
        <v>9.8523935324229983E-2</v>
      </c>
      <c r="BC147" s="167">
        <v>9.8523935324229978E-5</v>
      </c>
      <c r="BD147" s="168">
        <v>43</v>
      </c>
      <c r="BE147" s="170">
        <v>3.5290288393785936E-3</v>
      </c>
      <c r="BF147" s="171">
        <v>2.0722424188952399E-3</v>
      </c>
      <c r="BH147" s="81">
        <f t="shared" si="131"/>
        <v>353.1448740700344</v>
      </c>
      <c r="BI147" s="80">
        <v>353.1448740700344</v>
      </c>
      <c r="BK147" s="81">
        <f t="shared" si="132"/>
        <v>53.985559932452745</v>
      </c>
      <c r="BL147" s="81">
        <f t="shared" si="133"/>
        <v>43.035753601052555</v>
      </c>
      <c r="BM147" s="81">
        <f t="shared" si="134"/>
        <v>10.94980633140019</v>
      </c>
      <c r="BN147" s="192">
        <f t="shared" si="135"/>
        <v>0.20282842940039325</v>
      </c>
      <c r="BO147" s="81">
        <f t="shared" si="136"/>
        <v>43</v>
      </c>
      <c r="BP147" s="49">
        <f t="shared" si="137"/>
        <v>8.7216224642169102</v>
      </c>
      <c r="BQ147" s="82">
        <f t="shared" si="138"/>
        <v>4208.7848336135348</v>
      </c>
      <c r="BS147" s="193">
        <v>4208.7848336135348</v>
      </c>
    </row>
    <row r="148" spans="1:71" x14ac:dyDescent="0.25">
      <c r="A148" s="5">
        <v>4</v>
      </c>
      <c r="B148" s="14"/>
      <c r="C148" s="12" t="s">
        <v>23</v>
      </c>
      <c r="D148" s="10" t="s">
        <v>24</v>
      </c>
      <c r="E148" s="11" t="s">
        <v>25</v>
      </c>
      <c r="F148" s="33">
        <v>44429</v>
      </c>
      <c r="G148" s="29">
        <v>0.83611111111111114</v>
      </c>
      <c r="H148" s="28">
        <v>14</v>
      </c>
      <c r="I148" s="28">
        <v>67</v>
      </c>
      <c r="J148" s="28" t="s">
        <v>89</v>
      </c>
      <c r="K148" s="10">
        <v>26</v>
      </c>
      <c r="L148" s="47">
        <f t="shared" si="127"/>
        <v>101013.04768769341</v>
      </c>
      <c r="M148" s="10">
        <f t="shared" si="118"/>
        <v>1.0101304768769341</v>
      </c>
      <c r="N148" s="10" t="s">
        <v>15</v>
      </c>
      <c r="O148" s="10">
        <f>_xll.HumidairTdbRHPsi(H148,I148,M148,N148)</f>
        <v>6.6926853548010508E-3</v>
      </c>
      <c r="P148" s="49">
        <f t="shared" si="119"/>
        <v>6.6926853548010508</v>
      </c>
      <c r="Q148" s="31"/>
      <c r="R148" s="58">
        <v>6.6926853548010508</v>
      </c>
      <c r="S148" s="4"/>
      <c r="T148" s="10">
        <v>4</v>
      </c>
      <c r="U148" s="10" t="s">
        <v>144</v>
      </c>
      <c r="V148" s="78">
        <f>_xll.HumidairTdbRHPsi(H148, I148,M148,U148)</f>
        <v>7.9769420742566695</v>
      </c>
      <c r="W148" s="79">
        <v>7.9769420742566695</v>
      </c>
      <c r="X148" s="4"/>
      <c r="Y148" s="10">
        <v>4</v>
      </c>
      <c r="Z148" s="10" t="s">
        <v>145</v>
      </c>
      <c r="AA148" s="78">
        <f>_xll.HumidairTdbRHPsi(H148,I148,M148,Z148)</f>
        <v>30.988921959655862</v>
      </c>
      <c r="AB148" s="81">
        <f t="shared" si="128"/>
        <v>67.988921959655869</v>
      </c>
      <c r="AC148" s="80">
        <v>67.988921959655869</v>
      </c>
      <c r="AE148" s="10" t="s">
        <v>146</v>
      </c>
      <c r="AF148" s="78">
        <f>_xll.HumidairTdbRHPsi(H148,I148,M148,AE148)</f>
        <v>14.084199369259956</v>
      </c>
      <c r="AG148" s="81">
        <f t="shared" si="129"/>
        <v>51.084199369259956</v>
      </c>
      <c r="AH148" s="80">
        <v>51.084199369259956</v>
      </c>
      <c r="AI148" s="4"/>
      <c r="AJ148" s="10" t="s">
        <v>150</v>
      </c>
      <c r="AK148" s="84">
        <f>_xll.HumidairTdbRHPsi(H148,I148,M148,AJ148)</f>
        <v>0.81567199402038681</v>
      </c>
      <c r="AL148" s="58">
        <v>0.81567199402038681</v>
      </c>
      <c r="AM148" s="62"/>
      <c r="AN148" s="49">
        <f t="shared" si="120"/>
        <v>0.52080235595260571</v>
      </c>
      <c r="AO148" s="81">
        <f t="shared" si="130"/>
        <v>12.850720197990237</v>
      </c>
      <c r="AP148" s="81">
        <f t="shared" si="121"/>
        <v>31.390924671703495</v>
      </c>
      <c r="AR148" s="58">
        <v>0.52080235595260571</v>
      </c>
      <c r="AS148" s="80">
        <v>12.850720197990237</v>
      </c>
      <c r="AT148" s="80">
        <v>31.390924671703495</v>
      </c>
      <c r="AU148" s="140"/>
      <c r="AV148" s="49">
        <f t="shared" si="122"/>
        <v>0.1141976440473943</v>
      </c>
      <c r="AW148" s="162">
        <f t="shared" si="123"/>
        <v>1.1419764404739429E-4</v>
      </c>
      <c r="AX148" s="10">
        <f t="shared" si="124"/>
        <v>51</v>
      </c>
      <c r="AY148" s="55">
        <f t="shared" si="125"/>
        <v>4.8514585120654511E-3</v>
      </c>
      <c r="AZ148" s="55">
        <f t="shared" si="126"/>
        <v>2.8487718802498244E-3</v>
      </c>
      <c r="BB148" s="58">
        <v>0.1141976440473943</v>
      </c>
      <c r="BC148" s="167">
        <v>1.1419764404739429E-4</v>
      </c>
      <c r="BD148" s="168">
        <v>51</v>
      </c>
      <c r="BE148" s="170">
        <v>4.8514585120654511E-3</v>
      </c>
      <c r="BF148" s="171">
        <v>2.8487718802498244E-3</v>
      </c>
      <c r="BH148" s="81">
        <f t="shared" si="131"/>
        <v>342.82737761919554</v>
      </c>
      <c r="BI148" s="80">
        <v>342.82737761919554</v>
      </c>
      <c r="BK148" s="81">
        <f t="shared" si="132"/>
        <v>67.988921959655869</v>
      </c>
      <c r="BL148" s="81">
        <f t="shared" si="133"/>
        <v>51.084199369259956</v>
      </c>
      <c r="BM148" s="81">
        <f t="shared" si="134"/>
        <v>16.904722590395913</v>
      </c>
      <c r="BN148" s="192">
        <f t="shared" si="135"/>
        <v>0.2486393680492103</v>
      </c>
      <c r="BO148" s="81">
        <f t="shared" si="136"/>
        <v>51</v>
      </c>
      <c r="BP148" s="49">
        <f t="shared" si="137"/>
        <v>12.680607770509726</v>
      </c>
      <c r="BQ148" s="82">
        <f t="shared" si="138"/>
        <v>4451.254190769987</v>
      </c>
      <c r="BS148" s="193">
        <v>4451.254190769987</v>
      </c>
    </row>
    <row r="149" spans="1:71" x14ac:dyDescent="0.25">
      <c r="A149">
        <v>5</v>
      </c>
      <c r="C149" s="9" t="s">
        <v>26</v>
      </c>
      <c r="D149" s="10" t="s">
        <v>27</v>
      </c>
      <c r="E149" s="11" t="s">
        <v>28</v>
      </c>
      <c r="F149" s="33">
        <v>44430</v>
      </c>
      <c r="G149" s="29">
        <v>0.40972222222222227</v>
      </c>
      <c r="H149" s="28">
        <v>22</v>
      </c>
      <c r="I149" s="28">
        <v>22</v>
      </c>
      <c r="J149" s="28" t="s">
        <v>90</v>
      </c>
      <c r="K149" s="10">
        <v>356</v>
      </c>
      <c r="L149" s="47">
        <f t="shared" si="127"/>
        <v>97120.766933102874</v>
      </c>
      <c r="M149" s="10">
        <f t="shared" si="118"/>
        <v>0.97120766933102876</v>
      </c>
      <c r="N149" s="10" t="s">
        <v>15</v>
      </c>
      <c r="O149" s="10">
        <f>_xll.HumidairTdbRHPsi(H149,I149,M149,N149)</f>
        <v>3.763787361067816E-3</v>
      </c>
      <c r="P149" s="49">
        <f t="shared" si="119"/>
        <v>3.7637873610678159</v>
      </c>
      <c r="Q149" s="31"/>
      <c r="R149" s="58">
        <v>3.7637873610678159</v>
      </c>
      <c r="S149" s="4"/>
      <c r="T149" s="10">
        <v>5</v>
      </c>
      <c r="U149" s="10" t="s">
        <v>144</v>
      </c>
      <c r="V149" s="78">
        <f>_xll.HumidairTdbRHPsi(H149, I149,M149,U149)</f>
        <v>-0.59409745535782577</v>
      </c>
      <c r="W149" s="79">
        <v>-0.59409745535782577</v>
      </c>
      <c r="X149" s="4"/>
      <c r="Y149" s="10">
        <v>5</v>
      </c>
      <c r="Z149" s="10" t="s">
        <v>145</v>
      </c>
      <c r="AA149" s="78">
        <f>_xll.HumidairTdbRHPsi(H149,I149,M149,Z149)</f>
        <v>31.707294162755993</v>
      </c>
      <c r="AB149" s="81">
        <f t="shared" si="128"/>
        <v>68.707294162756</v>
      </c>
      <c r="AC149" s="80">
        <v>68.707294162756</v>
      </c>
      <c r="AE149" s="10" t="s">
        <v>146</v>
      </c>
      <c r="AF149" s="78">
        <f>_xll.HumidairTdbRHPsi(H149,I149,M149,AE149)</f>
        <v>22.143103205926259</v>
      </c>
      <c r="AG149" s="81">
        <f t="shared" si="129"/>
        <v>59.143103205926259</v>
      </c>
      <c r="AH149" s="80">
        <v>59.143103205926259</v>
      </c>
      <c r="AI149" s="4"/>
      <c r="AJ149" s="10" t="s">
        <v>150</v>
      </c>
      <c r="AK149" s="84">
        <f>_xll.HumidairTdbRHPsi(H149,I149,M149,AJ149)</f>
        <v>0.87207836459797872</v>
      </c>
      <c r="AL149" s="58">
        <v>0.87207836459797872</v>
      </c>
      <c r="AM149" s="62"/>
      <c r="AN149" s="49">
        <f t="shared" si="120"/>
        <v>0.48711665535494442</v>
      </c>
      <c r="AO149" s="81">
        <f t="shared" si="130"/>
        <v>7.7266653063325847</v>
      </c>
      <c r="AP149" s="81">
        <f t="shared" si="121"/>
        <v>18.87420820449298</v>
      </c>
      <c r="AR149" s="58">
        <v>0.48711665535494442</v>
      </c>
      <c r="AS149" s="80">
        <v>7.7266653063325847</v>
      </c>
      <c r="AT149" s="80">
        <v>18.87420820449298</v>
      </c>
      <c r="AU149" s="140"/>
      <c r="AV149" s="49">
        <f t="shared" si="122"/>
        <v>0.14788334464505559</v>
      </c>
      <c r="AW149" s="162">
        <f t="shared" si="123"/>
        <v>1.478833446450556E-4</v>
      </c>
      <c r="AX149" s="10">
        <f t="shared" si="124"/>
        <v>59</v>
      </c>
      <c r="AY149" s="55">
        <f t="shared" si="125"/>
        <v>7.2680227392705474E-3</v>
      </c>
      <c r="AZ149" s="55">
        <f t="shared" si="126"/>
        <v>4.2677761240578664E-3</v>
      </c>
      <c r="BB149" s="58">
        <v>0.14788334464505559</v>
      </c>
      <c r="BC149" s="167">
        <v>1.478833446450556E-4</v>
      </c>
      <c r="BD149" s="168">
        <v>59</v>
      </c>
      <c r="BE149" s="170">
        <v>7.2680227392705474E-3</v>
      </c>
      <c r="BF149" s="171">
        <v>4.2677761240578664E-3</v>
      </c>
      <c r="BH149" s="81">
        <f t="shared" si="131"/>
        <v>320.65316840687677</v>
      </c>
      <c r="BI149" s="80">
        <v>320.65316840687677</v>
      </c>
      <c r="BK149" s="81">
        <f t="shared" si="132"/>
        <v>68.707294162756</v>
      </c>
      <c r="BL149" s="81">
        <f t="shared" si="133"/>
        <v>59.143103205926259</v>
      </c>
      <c r="BM149" s="81">
        <f t="shared" si="134"/>
        <v>9.5641909568297407</v>
      </c>
      <c r="BN149" s="192">
        <f t="shared" si="135"/>
        <v>0.13920197372601786</v>
      </c>
      <c r="BO149" s="81">
        <f t="shared" si="136"/>
        <v>59</v>
      </c>
      <c r="BP149" s="49">
        <f t="shared" si="137"/>
        <v>8.2129164498350544</v>
      </c>
      <c r="BQ149" s="82">
        <f t="shared" si="138"/>
        <v>1924.4018924840154</v>
      </c>
      <c r="BS149" s="193">
        <v>1924.4018924840154</v>
      </c>
    </row>
    <row r="150" spans="1:71" x14ac:dyDescent="0.25">
      <c r="A150">
        <v>6</v>
      </c>
      <c r="C150" s="9" t="s">
        <v>29</v>
      </c>
      <c r="D150" s="10" t="s">
        <v>30</v>
      </c>
      <c r="E150" s="11" t="s">
        <v>31</v>
      </c>
      <c r="F150" s="33">
        <v>44429</v>
      </c>
      <c r="G150" s="34">
        <v>0.78611111111111109</v>
      </c>
      <c r="H150" s="28">
        <v>19</v>
      </c>
      <c r="I150" s="28">
        <v>68</v>
      </c>
      <c r="J150" s="28" t="s">
        <v>85</v>
      </c>
      <c r="K150" s="10">
        <v>2</v>
      </c>
      <c r="L150" s="47">
        <f t="shared" si="127"/>
        <v>101300.97600813</v>
      </c>
      <c r="M150" s="10">
        <f t="shared" si="118"/>
        <v>1.0130097600812999</v>
      </c>
      <c r="N150" s="10" t="s">
        <v>15</v>
      </c>
      <c r="O150" s="10">
        <f>_xll.HumidairTdbRHPsi(H150,I150,M150,N150)</f>
        <v>9.351858223428447E-3</v>
      </c>
      <c r="P150" s="49">
        <f t="shared" si="119"/>
        <v>9.3518582234284473</v>
      </c>
      <c r="Q150" s="31"/>
      <c r="R150" s="58">
        <v>9.3518582234284473</v>
      </c>
      <c r="S150" s="4"/>
      <c r="T150" s="10">
        <v>6</v>
      </c>
      <c r="U150" s="10" t="s">
        <v>144</v>
      </c>
      <c r="V150" s="78">
        <f>_xll.HumidairTdbRHPsi(H150, I150,M150,U150)</f>
        <v>12.967559227116396</v>
      </c>
      <c r="W150" s="79">
        <v>12.967559227116396</v>
      </c>
      <c r="X150" s="4"/>
      <c r="Y150" s="10">
        <v>6</v>
      </c>
      <c r="Z150" s="10" t="s">
        <v>145</v>
      </c>
      <c r="AA150" s="78">
        <f>_xll.HumidairTdbRHPsi(H150,I150,M150,Z150)</f>
        <v>42.821785432765743</v>
      </c>
      <c r="AB150" s="81">
        <f t="shared" si="128"/>
        <v>79.821785432765751</v>
      </c>
      <c r="AC150" s="80">
        <v>79.821785432765751</v>
      </c>
      <c r="AE150" s="10" t="s">
        <v>146</v>
      </c>
      <c r="AF150" s="78">
        <f>_xll.HumidairTdbRHPsi(H150,I150,M150,AE150)</f>
        <v>19.114371475535759</v>
      </c>
      <c r="AG150" s="81">
        <f t="shared" si="129"/>
        <v>56.114371475535762</v>
      </c>
      <c r="AH150" s="80">
        <v>56.114371475535762</v>
      </c>
      <c r="AI150" s="4"/>
      <c r="AJ150" s="10" t="s">
        <v>150</v>
      </c>
      <c r="AK150" s="84">
        <f>_xll.HumidairTdbRHPsi(H150,I150,M150,AJ150)</f>
        <v>0.82755786424395994</v>
      </c>
      <c r="AL150" s="58">
        <v>0.82755786424395994</v>
      </c>
      <c r="AM150" s="62"/>
      <c r="AN150" s="49">
        <f t="shared" si="120"/>
        <v>0.51332228781182487</v>
      </c>
      <c r="AO150" s="81">
        <f t="shared" si="130"/>
        <v>18.218297637714649</v>
      </c>
      <c r="AP150" s="81">
        <f t="shared" si="121"/>
        <v>44.502502582043128</v>
      </c>
      <c r="AR150" s="58">
        <v>0.51332228781182487</v>
      </c>
      <c r="AS150" s="80">
        <v>18.218297637714649</v>
      </c>
      <c r="AT150" s="80">
        <v>44.502502582043128</v>
      </c>
      <c r="AU150" s="140"/>
      <c r="AV150" s="49">
        <f t="shared" si="122"/>
        <v>0.12167771218817514</v>
      </c>
      <c r="AW150" s="162">
        <f t="shared" si="123"/>
        <v>1.2167771218817514E-4</v>
      </c>
      <c r="AX150" s="10">
        <f t="shared" si="124"/>
        <v>56</v>
      </c>
      <c r="AY150" s="55">
        <f t="shared" si="125"/>
        <v>5.6760219181539937E-3</v>
      </c>
      <c r="AZ150" s="55">
        <f t="shared" si="126"/>
        <v>3.3329547376124446E-3</v>
      </c>
      <c r="BB150" s="58">
        <v>0.12167771218817514</v>
      </c>
      <c r="BC150" s="167">
        <v>1.2167771218817514E-4</v>
      </c>
      <c r="BD150" s="168">
        <v>56</v>
      </c>
      <c r="BE150" s="170">
        <v>5.6760219181539937E-3</v>
      </c>
      <c r="BF150" s="171">
        <v>3.3329547376124446E-3</v>
      </c>
      <c r="BH150" s="81">
        <f t="shared" si="131"/>
        <v>337.90349024463433</v>
      </c>
      <c r="BI150" s="80">
        <v>337.90349024463433</v>
      </c>
      <c r="BK150" s="81">
        <f t="shared" si="132"/>
        <v>79.821785432765751</v>
      </c>
      <c r="BL150" s="81">
        <f t="shared" si="133"/>
        <v>56.114371475535762</v>
      </c>
      <c r="BM150" s="81">
        <f t="shared" si="134"/>
        <v>23.707413957229988</v>
      </c>
      <c r="BN150" s="192">
        <f t="shared" si="135"/>
        <v>0.29700430563782426</v>
      </c>
      <c r="BO150" s="81">
        <f t="shared" si="136"/>
        <v>56</v>
      </c>
      <c r="BP150" s="49">
        <f t="shared" si="137"/>
        <v>16.632241115718159</v>
      </c>
      <c r="BQ150" s="82">
        <f t="shared" si="138"/>
        <v>4990.239119668523</v>
      </c>
      <c r="BS150" s="193">
        <v>4990.239119668523</v>
      </c>
    </row>
    <row r="151" spans="1:71" x14ac:dyDescent="0.25">
      <c r="A151">
        <v>7</v>
      </c>
      <c r="B151" s="1" t="s">
        <v>32</v>
      </c>
      <c r="C151" s="9" t="s">
        <v>33</v>
      </c>
      <c r="D151" s="10" t="s">
        <v>34</v>
      </c>
      <c r="E151" s="11" t="s">
        <v>35</v>
      </c>
      <c r="F151" s="33">
        <v>44430</v>
      </c>
      <c r="G151" s="29">
        <v>0.16874999999999998</v>
      </c>
      <c r="H151" s="28">
        <v>22</v>
      </c>
      <c r="I151" s="28">
        <v>70</v>
      </c>
      <c r="J151" s="28" t="s">
        <v>124</v>
      </c>
      <c r="K151" s="10">
        <v>126</v>
      </c>
      <c r="L151" s="47">
        <f t="shared" si="127"/>
        <v>99820.46987859541</v>
      </c>
      <c r="M151" s="10">
        <f t="shared" si="118"/>
        <v>0.99820469878595408</v>
      </c>
      <c r="N151" s="10" t="s">
        <v>15</v>
      </c>
      <c r="O151" s="10">
        <f>_xll.HumidairTdbRHPsi(H151,I151,M151,N151)</f>
        <v>1.1802407286416659E-2</v>
      </c>
      <c r="P151" s="49">
        <f t="shared" si="119"/>
        <v>11.802407286416658</v>
      </c>
      <c r="Q151" s="31"/>
      <c r="R151" s="58">
        <v>11.802407286416658</v>
      </c>
      <c r="S151" s="4"/>
      <c r="T151" s="10">
        <v>7</v>
      </c>
      <c r="U151" s="10" t="s">
        <v>144</v>
      </c>
      <c r="V151" s="78">
        <f>_xll.HumidairTdbRHPsi(H151, I151,M151,U151)</f>
        <v>16.282581120774807</v>
      </c>
      <c r="W151" s="79">
        <v>16.282581120774807</v>
      </c>
      <c r="X151" s="4"/>
      <c r="Y151" s="10">
        <v>7</v>
      </c>
      <c r="Z151" s="10" t="s">
        <v>145</v>
      </c>
      <c r="AA151" s="78">
        <f>_xll.HumidairTdbRHPsi(H151,I151,M151,Z151)</f>
        <v>52.121403692174702</v>
      </c>
      <c r="AB151" s="81">
        <f t="shared" si="128"/>
        <v>89.121403692174709</v>
      </c>
      <c r="AC151" s="80">
        <v>89.121403692174709</v>
      </c>
      <c r="AE151" s="10" t="s">
        <v>146</v>
      </c>
      <c r="AF151" s="78">
        <f>_xll.HumidairTdbRHPsi(H151,I151,M151,AE151)</f>
        <v>22.136742089695179</v>
      </c>
      <c r="AG151" s="81">
        <f t="shared" si="129"/>
        <v>59.136742089695176</v>
      </c>
      <c r="AH151" s="80">
        <v>59.136742089695176</v>
      </c>
      <c r="AI151" s="4"/>
      <c r="AJ151" s="10" t="s">
        <v>150</v>
      </c>
      <c r="AK151" s="84">
        <f>_xll.HumidairTdbRHPsi(H151,I151,M151,AJ151)</f>
        <v>0.84848490872308946</v>
      </c>
      <c r="AL151" s="58">
        <v>0.84848490872308946</v>
      </c>
      <c r="AM151" s="62"/>
      <c r="AN151" s="49">
        <f t="shared" si="120"/>
        <v>0.50066169922771797</v>
      </c>
      <c r="AO151" s="81">
        <f t="shared" si="130"/>
        <v>23.57361728413046</v>
      </c>
      <c r="AP151" s="81">
        <f t="shared" si="121"/>
        <v>57.58413793192986</v>
      </c>
      <c r="AR151" s="58">
        <v>0.50066169922771797</v>
      </c>
      <c r="AS151" s="80">
        <v>23.57361728413046</v>
      </c>
      <c r="AT151" s="80">
        <v>57.58413793192986</v>
      </c>
      <c r="AU151" s="140"/>
      <c r="AV151" s="49">
        <f t="shared" si="122"/>
        <v>0.13433830077228204</v>
      </c>
      <c r="AW151" s="162">
        <f t="shared" si="123"/>
        <v>1.3433830077228204E-4</v>
      </c>
      <c r="AX151" s="10">
        <f t="shared" si="124"/>
        <v>59</v>
      </c>
      <c r="AY151" s="55">
        <f t="shared" si="125"/>
        <v>6.6023244680553459E-3</v>
      </c>
      <c r="AZ151" s="55">
        <f t="shared" si="126"/>
        <v>3.8768787246361396E-3</v>
      </c>
      <c r="BB151" s="58">
        <v>0.13433830077228204</v>
      </c>
      <c r="BC151" s="167">
        <v>1.3433830077228204E-4</v>
      </c>
      <c r="BD151" s="168">
        <v>59</v>
      </c>
      <c r="BE151" s="170">
        <v>6.6023244680553459E-3</v>
      </c>
      <c r="BF151" s="171">
        <v>3.8768787246361396E-3</v>
      </c>
      <c r="BH151" s="81">
        <f t="shared" si="131"/>
        <v>329.5694335073797</v>
      </c>
      <c r="BI151" s="80">
        <v>329.5694335073797</v>
      </c>
      <c r="BK151" s="81">
        <f t="shared" si="132"/>
        <v>89.121403692174709</v>
      </c>
      <c r="BL151" s="81">
        <f t="shared" si="133"/>
        <v>59.136742089695176</v>
      </c>
      <c r="BM151" s="81">
        <f t="shared" si="134"/>
        <v>29.984661602479534</v>
      </c>
      <c r="BN151" s="192">
        <f t="shared" si="135"/>
        <v>0.33644736685304621</v>
      </c>
      <c r="BO151" s="81">
        <f t="shared" si="136"/>
        <v>59</v>
      </c>
      <c r="BP151" s="49">
        <f t="shared" si="137"/>
        <v>19.850394644329725</v>
      </c>
      <c r="BQ151" s="82">
        <f t="shared" si="138"/>
        <v>5120.2000511875085</v>
      </c>
      <c r="BS151" s="193">
        <v>5120.2000511875085</v>
      </c>
    </row>
    <row r="152" spans="1:71" x14ac:dyDescent="0.25">
      <c r="A152">
        <v>8</v>
      </c>
      <c r="C152" s="9" t="s">
        <v>36</v>
      </c>
      <c r="D152" s="10" t="s">
        <v>37</v>
      </c>
      <c r="E152" s="11" t="s">
        <v>38</v>
      </c>
      <c r="F152" s="33">
        <v>44430</v>
      </c>
      <c r="G152" s="29">
        <v>0.41805555555555557</v>
      </c>
      <c r="H152" s="28">
        <v>20</v>
      </c>
      <c r="I152" s="28">
        <v>94</v>
      </c>
      <c r="J152" s="28" t="s">
        <v>110</v>
      </c>
      <c r="K152" s="10">
        <v>143</v>
      </c>
      <c r="L152" s="47">
        <f t="shared" si="127"/>
        <v>99618.87034335341</v>
      </c>
      <c r="M152" s="10">
        <f t="shared" si="118"/>
        <v>0.99618870343353405</v>
      </c>
      <c r="N152" s="10" t="s">
        <v>15</v>
      </c>
      <c r="O152" s="10">
        <f>_xll.HumidairTdbRHPsi(H152,I152,M152,N152)</f>
        <v>1.4093936274240782E-2</v>
      </c>
      <c r="P152" s="49">
        <f t="shared" si="119"/>
        <v>14.093936274240782</v>
      </c>
      <c r="Q152" s="31"/>
      <c r="R152" s="58">
        <v>14.093936274240782</v>
      </c>
      <c r="S152" s="4"/>
      <c r="T152" s="10">
        <v>8</v>
      </c>
      <c r="U152" s="10" t="s">
        <v>144</v>
      </c>
      <c r="V152" s="78">
        <f>_xll.HumidairTdbRHPsi(H152, I152,M152,U152)</f>
        <v>19.005273294482947</v>
      </c>
      <c r="W152" s="79">
        <v>19.005273294482947</v>
      </c>
      <c r="X152" s="4"/>
      <c r="Y152" s="10">
        <v>8</v>
      </c>
      <c r="Z152" s="10" t="s">
        <v>145</v>
      </c>
      <c r="AA152" s="78">
        <f>_xll.HumidairTdbRHPsi(H152,I152,M152,Z152)</f>
        <v>55.875849981439288</v>
      </c>
      <c r="AB152" s="81">
        <f t="shared" si="128"/>
        <v>92.875849981439288</v>
      </c>
      <c r="AC152" s="80">
        <v>92.875849981439288</v>
      </c>
      <c r="AE152" s="10" t="s">
        <v>146</v>
      </c>
      <c r="AF152" s="78">
        <f>_xll.HumidairTdbRHPsi(H152,I152,M152,AE152)</f>
        <v>20.124656700950236</v>
      </c>
      <c r="AG152" s="81">
        <f t="shared" si="129"/>
        <v>57.12465670095024</v>
      </c>
      <c r="AH152" s="80">
        <v>57.12465670095024</v>
      </c>
      <c r="AI152" s="4"/>
      <c r="AJ152" s="10" t="s">
        <v>150</v>
      </c>
      <c r="AK152" s="84">
        <f>_xll.HumidairTdbRHPsi(H152,I152,M152,AJ152)</f>
        <v>0.84442532372360091</v>
      </c>
      <c r="AL152" s="58">
        <v>0.84442532372360091</v>
      </c>
      <c r="AM152" s="62"/>
      <c r="AN152" s="49">
        <f t="shared" si="120"/>
        <v>0.50306863642737565</v>
      </c>
      <c r="AO152" s="81">
        <f t="shared" si="130"/>
        <v>28.015931134827209</v>
      </c>
      <c r="AP152" s="81">
        <f t="shared" si="121"/>
        <v>68.435540600948784</v>
      </c>
      <c r="AR152" s="58">
        <v>0.50306863642737565</v>
      </c>
      <c r="AS152" s="80">
        <v>28.015931134827209</v>
      </c>
      <c r="AT152" s="80">
        <v>68.435540600948784</v>
      </c>
      <c r="AU152" s="140"/>
      <c r="AV152" s="49">
        <f t="shared" si="122"/>
        <v>0.13193136357262436</v>
      </c>
      <c r="AW152" s="162">
        <f t="shared" si="123"/>
        <v>1.3193136357262435E-4</v>
      </c>
      <c r="AX152" s="10">
        <f t="shared" si="124"/>
        <v>57</v>
      </c>
      <c r="AY152" s="55">
        <f t="shared" si="125"/>
        <v>6.2642330737917766E-3</v>
      </c>
      <c r="AZ152" s="55">
        <f t="shared" si="126"/>
        <v>3.6783517755676902E-3</v>
      </c>
      <c r="BB152" s="58">
        <v>0.13193136357262436</v>
      </c>
      <c r="BC152" s="167">
        <v>1.3193136357262435E-4</v>
      </c>
      <c r="BD152" s="168">
        <v>57</v>
      </c>
      <c r="BE152" s="170">
        <v>6.2642330737917766E-3</v>
      </c>
      <c r="BF152" s="171">
        <v>3.6783517755676902E-3</v>
      </c>
      <c r="BH152" s="81">
        <f t="shared" si="131"/>
        <v>331.15384256164253</v>
      </c>
      <c r="BI152" s="80">
        <v>331.15384256164253</v>
      </c>
      <c r="BK152" s="81">
        <f t="shared" si="132"/>
        <v>92.875849981439288</v>
      </c>
      <c r="BL152" s="81">
        <f t="shared" si="133"/>
        <v>57.12465670095024</v>
      </c>
      <c r="BM152" s="81">
        <f t="shared" si="134"/>
        <v>35.751193280489048</v>
      </c>
      <c r="BN152" s="192">
        <f t="shared" si="135"/>
        <v>0.38493530113192742</v>
      </c>
      <c r="BO152" s="81">
        <f t="shared" si="136"/>
        <v>57</v>
      </c>
      <c r="BP152" s="49">
        <f t="shared" si="137"/>
        <v>21.941312164519864</v>
      </c>
      <c r="BQ152" s="82">
        <f t="shared" si="138"/>
        <v>5964.9847277408917</v>
      </c>
      <c r="BS152" s="193">
        <v>5964.9847277408917</v>
      </c>
    </row>
    <row r="153" spans="1:71" x14ac:dyDescent="0.25">
      <c r="A153">
        <v>9</v>
      </c>
      <c r="C153" s="68" t="s">
        <v>39</v>
      </c>
      <c r="D153" s="10" t="s">
        <v>40</v>
      </c>
      <c r="E153" s="11" t="s">
        <v>41</v>
      </c>
      <c r="F153" s="33">
        <v>44429</v>
      </c>
      <c r="G153" s="29">
        <v>0.90902777777777777</v>
      </c>
      <c r="H153" s="28">
        <v>28</v>
      </c>
      <c r="I153" s="28">
        <v>71</v>
      </c>
      <c r="J153" s="28" t="s">
        <v>85</v>
      </c>
      <c r="K153" s="10">
        <v>62</v>
      </c>
      <c r="L153" s="47">
        <f t="shared" si="127"/>
        <v>100582.39802554256</v>
      </c>
      <c r="M153" s="10">
        <f t="shared" si="118"/>
        <v>1.0058239802554256</v>
      </c>
      <c r="N153" s="10" t="s">
        <v>15</v>
      </c>
      <c r="O153" s="10">
        <f>_xll.HumidairTdbRHPsi(H153,I153,M153,N153)</f>
        <v>1.7136092541868601E-2</v>
      </c>
      <c r="P153" s="49">
        <f t="shared" si="119"/>
        <v>17.136092541868599</v>
      </c>
      <c r="Q153" s="31"/>
      <c r="R153" s="58">
        <v>17.136092541868599</v>
      </c>
      <c r="S153" s="4"/>
      <c r="T153" s="10">
        <v>9</v>
      </c>
      <c r="U153" s="10" t="s">
        <v>144</v>
      </c>
      <c r="V153" s="78">
        <f>_xll.HumidairTdbRHPsi(H153, I153,M153,U153)</f>
        <v>22.252777914897138</v>
      </c>
      <c r="W153" s="79">
        <v>22.252777914897138</v>
      </c>
      <c r="X153" s="4"/>
      <c r="Y153" s="10">
        <v>9</v>
      </c>
      <c r="Z153" s="10" t="s">
        <v>145</v>
      </c>
      <c r="AA153" s="78">
        <f>_xll.HumidairTdbRHPsi(H153,I153,M153,Z153)</f>
        <v>71.896912506734907</v>
      </c>
      <c r="AB153" s="81">
        <f t="shared" si="128"/>
        <v>108.89691250673491</v>
      </c>
      <c r="AC153" s="80">
        <v>108.89691250673491</v>
      </c>
      <c r="AE153" s="10" t="s">
        <v>146</v>
      </c>
      <c r="AF153" s="78">
        <f>_xll.HumidairTdbRHPsi(H153,I153,M153,AE153)</f>
        <v>28.173521312118261</v>
      </c>
      <c r="AG153" s="81">
        <f t="shared" si="129"/>
        <v>65.173521312118254</v>
      </c>
      <c r="AH153" s="80">
        <v>65.173521312118254</v>
      </c>
      <c r="AI153" s="4"/>
      <c r="AJ153" s="10" t="s">
        <v>150</v>
      </c>
      <c r="AK153" s="84">
        <f>_xll.HumidairTdbRHPsi(H153,I153,M153,AJ153)</f>
        <v>0.85922008784583603</v>
      </c>
      <c r="AL153" s="58">
        <v>0.85922008784583603</v>
      </c>
      <c r="AM153" s="62"/>
      <c r="AN153" s="49">
        <f t="shared" si="120"/>
        <v>0.49440638339288545</v>
      </c>
      <c r="AO153" s="81">
        <f t="shared" si="130"/>
        <v>34.659933846871908</v>
      </c>
      <c r="AP153" s="81">
        <f t="shared" si="121"/>
        <v>84.665089251849025</v>
      </c>
      <c r="AR153" s="58">
        <v>0.49440638339288545</v>
      </c>
      <c r="AS153" s="80">
        <v>34.659933846871908</v>
      </c>
      <c r="AT153" s="80">
        <v>84.665089251849025</v>
      </c>
      <c r="AU153" s="140"/>
      <c r="AV153" s="49">
        <f t="shared" si="122"/>
        <v>0.14059361660711456</v>
      </c>
      <c r="AW153" s="162">
        <f t="shared" si="123"/>
        <v>1.4059361660711457E-4</v>
      </c>
      <c r="AX153" s="10">
        <f t="shared" si="124"/>
        <v>65</v>
      </c>
      <c r="AY153" s="55">
        <f t="shared" si="125"/>
        <v>7.6124413711922178E-3</v>
      </c>
      <c r="AZ153" s="55">
        <f t="shared" si="126"/>
        <v>4.470018421134596E-3</v>
      </c>
      <c r="BB153" s="58">
        <v>0.14059361660711456</v>
      </c>
      <c r="BC153" s="167">
        <v>1.4059361660711457E-4</v>
      </c>
      <c r="BD153" s="168">
        <v>65</v>
      </c>
      <c r="BE153" s="170">
        <v>7.6124413711922178E-3</v>
      </c>
      <c r="BF153" s="171">
        <v>4.470018421134596E-3</v>
      </c>
      <c r="BH153" s="81">
        <f t="shared" si="131"/>
        <v>325.45176103657656</v>
      </c>
      <c r="BI153" s="80">
        <v>325.45176103657656</v>
      </c>
      <c r="BK153" s="81">
        <f t="shared" si="132"/>
        <v>108.89691250673491</v>
      </c>
      <c r="BL153" s="81">
        <f t="shared" si="133"/>
        <v>65.173521312118254</v>
      </c>
      <c r="BM153" s="81">
        <f t="shared" si="134"/>
        <v>43.723391194616653</v>
      </c>
      <c r="BN153" s="192">
        <f t="shared" si="135"/>
        <v>0.40151176179501424</v>
      </c>
      <c r="BO153" s="81">
        <f t="shared" si="136"/>
        <v>65</v>
      </c>
      <c r="BP153" s="49">
        <f t="shared" si="137"/>
        <v>26.098264516675926</v>
      </c>
      <c r="BQ153" s="82">
        <f t="shared" si="138"/>
        <v>5838.5138623324892</v>
      </c>
      <c r="BS153" s="193">
        <v>5838.5138623324892</v>
      </c>
    </row>
    <row r="154" spans="1:71" x14ac:dyDescent="0.25">
      <c r="A154" s="5">
        <v>10</v>
      </c>
      <c r="B154" s="14"/>
      <c r="C154" s="12" t="s">
        <v>42</v>
      </c>
      <c r="D154" s="13" t="s">
        <v>43</v>
      </c>
      <c r="E154" s="8" t="s">
        <v>44</v>
      </c>
      <c r="F154" s="33">
        <v>44429</v>
      </c>
      <c r="G154" s="29">
        <v>0.87013888888888891</v>
      </c>
      <c r="H154" s="28">
        <v>20</v>
      </c>
      <c r="I154" s="28">
        <v>53</v>
      </c>
      <c r="J154" s="28" t="s">
        <v>88</v>
      </c>
      <c r="K154" s="10">
        <v>255</v>
      </c>
      <c r="L154" s="47">
        <f t="shared" si="127"/>
        <v>98298.910193542106</v>
      </c>
      <c r="M154" s="10">
        <f t="shared" si="118"/>
        <v>0.98298910193542111</v>
      </c>
      <c r="N154" s="10" t="s">
        <v>15</v>
      </c>
      <c r="O154" s="10">
        <f>_xll.HumidairTdbRHPsi(H154,I154,M154,N154)</f>
        <v>7.9755135391102652E-3</v>
      </c>
      <c r="P154" s="49">
        <f t="shared" si="119"/>
        <v>7.9755135391102652</v>
      </c>
      <c r="Q154" s="31"/>
      <c r="R154" s="58">
        <v>7.9755135391102652</v>
      </c>
      <c r="S154" s="4"/>
      <c r="T154" s="10">
        <v>10</v>
      </c>
      <c r="U154" s="10" t="s">
        <v>144</v>
      </c>
      <c r="V154" s="78">
        <f>_xll.HumidairTdbRHPsi(H154, I154,M154,U154)</f>
        <v>10.142136888592745</v>
      </c>
      <c r="W154" s="79">
        <v>10.142136888592745</v>
      </c>
      <c r="X154" s="4"/>
      <c r="Y154" s="10">
        <v>10</v>
      </c>
      <c r="Z154" s="10" t="s">
        <v>145</v>
      </c>
      <c r="AA154" s="78">
        <f>_xll.HumidairTdbRHPsi(H154,I154,M154,Z154)</f>
        <v>40.36221744790398</v>
      </c>
      <c r="AB154" s="81">
        <f t="shared" si="128"/>
        <v>77.362217447903987</v>
      </c>
      <c r="AC154" s="80">
        <v>77.362217447903987</v>
      </c>
      <c r="AE154" s="10" t="s">
        <v>146</v>
      </c>
      <c r="AF154" s="78">
        <f>_xll.HumidairTdbRHPsi(H154,I154,M154,AE154)</f>
        <v>20.127812595688454</v>
      </c>
      <c r="AG154" s="81">
        <f t="shared" si="129"/>
        <v>57.127812595688454</v>
      </c>
      <c r="AH154" s="80">
        <v>57.127812595688454</v>
      </c>
      <c r="AI154" s="4"/>
      <c r="AJ154" s="10" t="s">
        <v>150</v>
      </c>
      <c r="AK154" s="84">
        <f>_xll.HumidairTdbRHPsi(H154,I154,M154,AJ154)</f>
        <v>0.85576824417504771</v>
      </c>
      <c r="AL154" s="58">
        <v>0.85576824417504771</v>
      </c>
      <c r="AM154" s="62"/>
      <c r="AN154" s="49">
        <f t="shared" si="120"/>
        <v>0.49640063073371454</v>
      </c>
      <c r="AO154" s="81">
        <f t="shared" si="130"/>
        <v>16.06668695670653</v>
      </c>
      <c r="AP154" s="81">
        <f t="shared" si="121"/>
        <v>39.246684404559076</v>
      </c>
      <c r="AR154" s="58">
        <v>0.49640063073371454</v>
      </c>
      <c r="AS154" s="80">
        <v>16.06668695670653</v>
      </c>
      <c r="AT154" s="80">
        <v>39.246684404559076</v>
      </c>
      <c r="AU154" s="140"/>
      <c r="AV154" s="49">
        <f t="shared" si="122"/>
        <v>0.13859936926628547</v>
      </c>
      <c r="AW154" s="162">
        <f t="shared" si="123"/>
        <v>1.3859936926628546E-4</v>
      </c>
      <c r="AX154" s="10">
        <f t="shared" si="124"/>
        <v>57</v>
      </c>
      <c r="AY154" s="55">
        <f t="shared" si="125"/>
        <v>6.5808366521324995E-3</v>
      </c>
      <c r="AZ154" s="55">
        <f t="shared" si="126"/>
        <v>3.8642610993144446E-3</v>
      </c>
      <c r="BB154" s="58">
        <v>0.13859936926628547</v>
      </c>
      <c r="BC154" s="167">
        <v>1.3859936926628546E-4</v>
      </c>
      <c r="BD154" s="168">
        <v>57</v>
      </c>
      <c r="BE154" s="170">
        <v>6.5808366521324995E-3</v>
      </c>
      <c r="BF154" s="171">
        <v>3.8642610993144446E-3</v>
      </c>
      <c r="BH154" s="81">
        <f t="shared" si="131"/>
        <v>326.76450967983095</v>
      </c>
      <c r="BI154" s="80">
        <v>326.76450967983095</v>
      </c>
      <c r="BK154" s="81">
        <f t="shared" si="132"/>
        <v>77.362217447903987</v>
      </c>
      <c r="BL154" s="81">
        <f t="shared" si="133"/>
        <v>57.127812595688454</v>
      </c>
      <c r="BM154" s="81">
        <f t="shared" si="134"/>
        <v>20.234404852215533</v>
      </c>
      <c r="BN154" s="192">
        <f t="shared" si="135"/>
        <v>0.26155409603972973</v>
      </c>
      <c r="BO154" s="81">
        <f t="shared" si="136"/>
        <v>57</v>
      </c>
      <c r="BP154" s="49">
        <f t="shared" si="137"/>
        <v>14.908583474264594</v>
      </c>
      <c r="BQ154" s="82">
        <f t="shared" si="138"/>
        <v>3858.0683579868642</v>
      </c>
      <c r="BS154" s="193">
        <v>3858.0683579868642</v>
      </c>
    </row>
    <row r="155" spans="1:71" x14ac:dyDescent="0.25">
      <c r="A155">
        <v>11</v>
      </c>
      <c r="C155" s="9" t="s">
        <v>77</v>
      </c>
      <c r="D155" s="10" t="s">
        <v>78</v>
      </c>
      <c r="E155" s="11" t="s">
        <v>79</v>
      </c>
      <c r="F155" s="33" t="s">
        <v>123</v>
      </c>
      <c r="G155" s="34">
        <v>8.2638888888888887E-2</v>
      </c>
      <c r="H155" s="28">
        <v>36</v>
      </c>
      <c r="I155" s="28">
        <v>11</v>
      </c>
      <c r="J155" s="28" t="s">
        <v>102</v>
      </c>
      <c r="K155" s="10">
        <v>138</v>
      </c>
      <c r="L155" s="47">
        <f>+((101325*(1-(2.25577*10^-5)*(K155))^5.25588))</f>
        <v>99678.130068961269</v>
      </c>
      <c r="M155" s="10">
        <f t="shared" si="118"/>
        <v>0.99678130068961268</v>
      </c>
      <c r="N155" s="10" t="s">
        <v>15</v>
      </c>
      <c r="O155" s="10">
        <f>_xll.HumidairTdbRHPsi(H155,I155,M155,N155)</f>
        <v>4.1274980846866963E-3</v>
      </c>
      <c r="P155" s="49">
        <f t="shared" si="119"/>
        <v>4.127498084686696</v>
      </c>
      <c r="Q155" s="31"/>
      <c r="R155" s="58">
        <v>4.127498084686696</v>
      </c>
      <c r="S155" s="4"/>
      <c r="T155" s="10">
        <v>11</v>
      </c>
      <c r="U155" s="10" t="s">
        <v>144</v>
      </c>
      <c r="V155" s="78">
        <f>_xll.HumidairTdbRHPsi(H155, I155,M155,U155)</f>
        <v>0.94699015643101347</v>
      </c>
      <c r="W155" s="79">
        <v>0.94699015643101347</v>
      </c>
      <c r="X155" s="4"/>
      <c r="Y155" s="10">
        <v>11</v>
      </c>
      <c r="Z155" s="10" t="s">
        <v>145</v>
      </c>
      <c r="AA155" s="78">
        <f>_xll.HumidairTdbRHPsi(H155,I155,M155,Z155)</f>
        <v>46.825479759713026</v>
      </c>
      <c r="AB155" s="81">
        <f t="shared" si="128"/>
        <v>83.825479759713033</v>
      </c>
      <c r="AC155" s="80">
        <v>83.825479759713033</v>
      </c>
      <c r="AE155" s="10" t="s">
        <v>146</v>
      </c>
      <c r="AF155" s="78">
        <f>_xll.HumidairTdbRHPsi(H155,I155,M155,AE155)</f>
        <v>36.228969139756856</v>
      </c>
      <c r="AG155" s="81">
        <f t="shared" si="129"/>
        <v>73.228969139756856</v>
      </c>
      <c r="AH155" s="80">
        <v>73.228969139756856</v>
      </c>
      <c r="AI155" s="4"/>
      <c r="AJ155" s="10" t="s">
        <v>150</v>
      </c>
      <c r="AK155" s="84">
        <f>_xll.HumidairTdbRHPsi(H155,I155,M155,AJ155)</f>
        <v>0.89010738628558217</v>
      </c>
      <c r="AL155" s="58">
        <v>0.89010738628558217</v>
      </c>
      <c r="AM155" s="62"/>
      <c r="AN155" s="49">
        <f t="shared" si="120"/>
        <v>0.4772501640988327</v>
      </c>
      <c r="AO155" s="81">
        <f t="shared" si="130"/>
        <v>8.648500084814934</v>
      </c>
      <c r="AP155" s="81">
        <f t="shared" si="121"/>
        <v>21.126007764771437</v>
      </c>
      <c r="AR155" s="58">
        <v>0.4772501640988327</v>
      </c>
      <c r="AS155" s="80">
        <v>8.648500084814934</v>
      </c>
      <c r="AT155" s="80">
        <v>21.126007764771437</v>
      </c>
      <c r="AU155" s="140"/>
      <c r="AV155" s="49">
        <f t="shared" si="122"/>
        <v>0.15774983590116731</v>
      </c>
      <c r="AW155" s="162">
        <f t="shared" si="123"/>
        <v>1.5774983590116732E-4</v>
      </c>
      <c r="AX155" s="10">
        <f t="shared" si="124"/>
        <v>73</v>
      </c>
      <c r="AY155" s="55">
        <f t="shared" si="125"/>
        <v>9.592609771314084E-3</v>
      </c>
      <c r="AZ155" s="55">
        <f t="shared" si="126"/>
        <v>5.6327714452813179E-3</v>
      </c>
      <c r="BB155" s="58">
        <v>0.15774983590116731</v>
      </c>
      <c r="BC155" s="167">
        <v>1.5774983590116732E-4</v>
      </c>
      <c r="BD155" s="168">
        <v>73</v>
      </c>
      <c r="BE155" s="170">
        <v>9.592609771314084E-3</v>
      </c>
      <c r="BF155" s="171">
        <v>5.6327714452813179E-3</v>
      </c>
      <c r="BH155" s="81">
        <f t="shared" si="131"/>
        <v>314.15837573749928</v>
      </c>
      <c r="BI155" s="80">
        <v>314.15837573749928</v>
      </c>
      <c r="BK155" s="81">
        <f t="shared" si="132"/>
        <v>83.825479759713033</v>
      </c>
      <c r="BL155" s="81">
        <f t="shared" si="133"/>
        <v>73.228969139756856</v>
      </c>
      <c r="BM155" s="81">
        <f t="shared" si="134"/>
        <v>10.596510619956177</v>
      </c>
      <c r="BN155" s="192">
        <f t="shared" si="135"/>
        <v>0.12641157140205139</v>
      </c>
      <c r="BO155" s="81">
        <f t="shared" si="136"/>
        <v>73</v>
      </c>
      <c r="BP155" s="49">
        <f t="shared" si="137"/>
        <v>9.2280447123497513</v>
      </c>
      <c r="BQ155" s="82">
        <f t="shared" si="138"/>
        <v>1638.277853449968</v>
      </c>
      <c r="BS155" s="193">
        <v>1638.277853449968</v>
      </c>
    </row>
    <row r="156" spans="1:71" x14ac:dyDescent="0.25">
      <c r="A156">
        <v>12</v>
      </c>
      <c r="B156" s="1" t="s">
        <v>48</v>
      </c>
      <c r="C156" s="9" t="s">
        <v>45</v>
      </c>
      <c r="D156" s="10" t="s">
        <v>46</v>
      </c>
      <c r="E156" s="11" t="s">
        <v>47</v>
      </c>
      <c r="F156" s="33">
        <v>44430</v>
      </c>
      <c r="G156" s="29">
        <v>0.12152777777777778</v>
      </c>
      <c r="H156" s="28">
        <v>26</v>
      </c>
      <c r="I156" s="28">
        <v>88</v>
      </c>
      <c r="J156" s="28" t="s">
        <v>87</v>
      </c>
      <c r="K156" s="10">
        <v>30</v>
      </c>
      <c r="L156" s="47">
        <f>+((101325*(1-(2.25577*10^-5)*(K156))^5.25588))</f>
        <v>100965.12412724759</v>
      </c>
      <c r="M156" s="10">
        <f t="shared" si="118"/>
        <v>1.0096512412724759</v>
      </c>
      <c r="N156" s="10" t="s">
        <v>15</v>
      </c>
      <c r="O156" s="10">
        <f>_xll.HumidairTdbRHPsi(H156,I156,M156,N156)</f>
        <v>1.8864073789734075E-2</v>
      </c>
      <c r="P156" s="49">
        <f t="shared" si="119"/>
        <v>18.864073789734075</v>
      </c>
      <c r="Q156" s="31"/>
      <c r="R156" s="58">
        <v>18.864073789734075</v>
      </c>
      <c r="S156" s="4"/>
      <c r="T156" s="10">
        <v>12</v>
      </c>
      <c r="U156" s="10" t="s">
        <v>144</v>
      </c>
      <c r="V156" s="78">
        <f>_xll.HumidairTdbRHPsi(H156, I156,M156,U156)</f>
        <v>23.857870267275359</v>
      </c>
      <c r="W156" s="79">
        <v>23.857870267275359</v>
      </c>
      <c r="X156" s="4"/>
      <c r="Y156" s="10">
        <v>12</v>
      </c>
      <c r="Z156" s="10" t="s">
        <v>145</v>
      </c>
      <c r="AA156" s="78">
        <f>_xll.HumidairTdbRHPsi(H156,I156,M156,Z156)</f>
        <v>74.218710538431026</v>
      </c>
      <c r="AB156" s="81">
        <f t="shared" si="128"/>
        <v>111.21871053843103</v>
      </c>
      <c r="AC156" s="80">
        <v>111.21871053843103</v>
      </c>
      <c r="AE156" s="10" t="s">
        <v>146</v>
      </c>
      <c r="AF156" s="78">
        <f>_xll.HumidairTdbRHPsi(H156,I156,M156,AE156)</f>
        <v>26.159648738837987</v>
      </c>
      <c r="AG156" s="81">
        <f t="shared" si="129"/>
        <v>63.159648738837987</v>
      </c>
      <c r="AH156" s="80">
        <v>63.159648738837987</v>
      </c>
      <c r="AI156" s="4"/>
      <c r="AJ156" s="10" t="s">
        <v>150</v>
      </c>
      <c r="AK156" s="84">
        <f>_xll.HumidairTdbRHPsi(H156,I156,M156,AJ156)</f>
        <v>0.85026244451647626</v>
      </c>
      <c r="AL156" s="58">
        <v>0.85026244451647626</v>
      </c>
      <c r="AM156" s="62"/>
      <c r="AN156" s="49">
        <f t="shared" si="120"/>
        <v>0.49961502934773605</v>
      </c>
      <c r="AO156" s="81">
        <f t="shared" si="130"/>
        <v>37.757218421474924</v>
      </c>
      <c r="AP156" s="81">
        <f t="shared" si="121"/>
        <v>92.230939668808389</v>
      </c>
      <c r="AR156" s="58">
        <v>0.49961502934773605</v>
      </c>
      <c r="AS156" s="80">
        <v>37.757218421474924</v>
      </c>
      <c r="AT156" s="80">
        <v>92.230939668808389</v>
      </c>
      <c r="AU156" s="140"/>
      <c r="AV156" s="49">
        <f t="shared" si="122"/>
        <v>0.13538497065226396</v>
      </c>
      <c r="AW156" s="162">
        <f t="shared" si="123"/>
        <v>1.3538497065226395E-4</v>
      </c>
      <c r="AX156" s="10">
        <f t="shared" si="124"/>
        <v>63</v>
      </c>
      <c r="AY156" s="55">
        <f t="shared" si="125"/>
        <v>7.1048678748601591E-3</v>
      </c>
      <c r="AZ156" s="55">
        <f t="shared" si="126"/>
        <v>4.1719717409630999E-3</v>
      </c>
      <c r="BB156" s="58">
        <v>0.13538497065226396</v>
      </c>
      <c r="BC156" s="167">
        <v>1.3538497065226395E-4</v>
      </c>
      <c r="BD156" s="168">
        <v>63</v>
      </c>
      <c r="BE156" s="170">
        <v>7.1048678748601591E-3</v>
      </c>
      <c r="BF156" s="171">
        <v>4.1719717409630999E-3</v>
      </c>
      <c r="BH156" s="81">
        <f t="shared" si="131"/>
        <v>328.88044451551758</v>
      </c>
      <c r="BI156" s="80">
        <v>328.88044451551758</v>
      </c>
      <c r="BK156" s="81">
        <f t="shared" si="132"/>
        <v>111.21871053843103</v>
      </c>
      <c r="BL156" s="81">
        <f t="shared" si="133"/>
        <v>63.159648738837987</v>
      </c>
      <c r="BM156" s="81">
        <f t="shared" si="134"/>
        <v>48.059061799593039</v>
      </c>
      <c r="BN156" s="192">
        <f t="shared" si="135"/>
        <v>0.43211310009736614</v>
      </c>
      <c r="BO156" s="81">
        <f t="shared" si="136"/>
        <v>63</v>
      </c>
      <c r="BP156" s="49">
        <f t="shared" si="137"/>
        <v>27.223125306134065</v>
      </c>
      <c r="BQ156" s="82">
        <f t="shared" si="138"/>
        <v>6525.2420189810791</v>
      </c>
      <c r="BS156" s="193">
        <v>6525.2420189810791</v>
      </c>
    </row>
    <row r="157" spans="1:71" x14ac:dyDescent="0.25">
      <c r="A157">
        <v>13</v>
      </c>
      <c r="C157" s="26" t="s">
        <v>49</v>
      </c>
      <c r="D157" s="27" t="s">
        <v>50</v>
      </c>
      <c r="E157" s="10" t="s">
        <v>51</v>
      </c>
      <c r="F157" s="33">
        <v>44430</v>
      </c>
      <c r="G157" s="29">
        <v>0.41736111111111113</v>
      </c>
      <c r="H157" s="28">
        <v>25</v>
      </c>
      <c r="I157" s="28">
        <v>95</v>
      </c>
      <c r="J157" s="28" t="s">
        <v>85</v>
      </c>
      <c r="K157" s="10">
        <v>3</v>
      </c>
      <c r="L157" s="47">
        <f>+((101325*(1-(2.25577*10^-5)*(K157))^5.25588))</f>
        <v>101288.96574192833</v>
      </c>
      <c r="M157" s="10">
        <f t="shared" si="118"/>
        <v>1.0128896574192834</v>
      </c>
      <c r="N157" s="10" t="s">
        <v>15</v>
      </c>
      <c r="O157" s="10">
        <f>_xll.HumidairTdbRHPsi(H157,I157,M157,N157)</f>
        <v>1.9136820610851025E-2</v>
      </c>
      <c r="P157" s="49">
        <f t="shared" si="119"/>
        <v>19.136820610851025</v>
      </c>
      <c r="Q157" s="31"/>
      <c r="R157" s="58">
        <v>19.136820610851025</v>
      </c>
      <c r="S157" s="4"/>
      <c r="T157" s="10">
        <v>13</v>
      </c>
      <c r="U157" s="10" t="s">
        <v>144</v>
      </c>
      <c r="V157" s="78">
        <f>_xll.HumidairTdbRHPsi(H157, I157,M157,U157)</f>
        <v>24.142784439264631</v>
      </c>
      <c r="W157" s="79">
        <v>24.142784439264631</v>
      </c>
      <c r="X157" s="4"/>
      <c r="Y157" s="10">
        <v>13</v>
      </c>
      <c r="Z157" s="10" t="s">
        <v>145</v>
      </c>
      <c r="AA157" s="78">
        <f>_xll.HumidairTdbRHPsi(H157,I157,M157,Z157)</f>
        <v>73.869733537635838</v>
      </c>
      <c r="AB157" s="81">
        <f t="shared" si="128"/>
        <v>110.86973353763584</v>
      </c>
      <c r="AC157" s="80">
        <v>110.86973353763584</v>
      </c>
      <c r="AE157" s="10" t="s">
        <v>146</v>
      </c>
      <c r="AF157" s="78">
        <f>_xll.HumidairTdbRHPsi(H157,I157,M157,AE157)</f>
        <v>25.152450641153379</v>
      </c>
      <c r="AG157" s="81">
        <f t="shared" si="129"/>
        <v>62.152450641153379</v>
      </c>
      <c r="AH157" s="80">
        <v>62.152450641153379</v>
      </c>
      <c r="AI157" s="4"/>
      <c r="AJ157" s="10" t="s">
        <v>150</v>
      </c>
      <c r="AK157" s="84">
        <f>_xll.HumidairTdbRHPsi(H157,I157,M157,AJ157)</f>
        <v>0.84470232410962964</v>
      </c>
      <c r="AL157" s="58">
        <v>0.84470232410962964</v>
      </c>
      <c r="AM157" s="62"/>
      <c r="AN157" s="49">
        <f t="shared" si="120"/>
        <v>0.50290366682505305</v>
      </c>
      <c r="AO157" s="81">
        <f t="shared" si="130"/>
        <v>38.052656747695224</v>
      </c>
      <c r="AP157" s="81">
        <f t="shared" si="121"/>
        <v>92.952617683785789</v>
      </c>
      <c r="AR157" s="58">
        <v>0.50290366682505305</v>
      </c>
      <c r="AS157" s="80">
        <v>38.052656747695224</v>
      </c>
      <c r="AT157" s="80">
        <v>92.952617683785789</v>
      </c>
      <c r="AU157" s="140"/>
      <c r="AV157" s="49">
        <f t="shared" si="122"/>
        <v>0.13209633317494696</v>
      </c>
      <c r="AW157" s="162">
        <f t="shared" si="123"/>
        <v>1.3209633317494695E-4</v>
      </c>
      <c r="AX157" s="10">
        <f t="shared" si="124"/>
        <v>62</v>
      </c>
      <c r="AY157" s="55">
        <f t="shared" si="125"/>
        <v>6.8222472231533101E-3</v>
      </c>
      <c r="AZ157" s="55">
        <f t="shared" si="126"/>
        <v>4.0060171598081682E-3</v>
      </c>
      <c r="BB157" s="58">
        <v>0.13209633317494696</v>
      </c>
      <c r="BC157" s="167">
        <v>1.3209633317494695E-4</v>
      </c>
      <c r="BD157" s="168">
        <v>62</v>
      </c>
      <c r="BE157" s="170">
        <v>6.8222472231533101E-3</v>
      </c>
      <c r="BF157" s="171">
        <v>4.0060171598081682E-3</v>
      </c>
      <c r="BH157" s="81">
        <f t="shared" si="131"/>
        <v>331.04524839822386</v>
      </c>
      <c r="BI157" s="80">
        <v>331.04524839822386</v>
      </c>
      <c r="BK157" s="81">
        <f t="shared" si="132"/>
        <v>110.86973353763584</v>
      </c>
      <c r="BL157" s="81">
        <f t="shared" si="133"/>
        <v>62.152450641153379</v>
      </c>
      <c r="BM157" s="81">
        <f t="shared" si="134"/>
        <v>48.717282896482459</v>
      </c>
      <c r="BN157" s="192">
        <f t="shared" si="135"/>
        <v>0.43941011980465244</v>
      </c>
      <c r="BO157" s="81">
        <f t="shared" si="136"/>
        <v>62</v>
      </c>
      <c r="BP157" s="49">
        <f t="shared" si="137"/>
        <v>27.243427427888452</v>
      </c>
      <c r="BQ157" s="82">
        <f t="shared" si="138"/>
        <v>6800.6267424957887</v>
      </c>
      <c r="BS157" s="193">
        <v>6800.6267424957887</v>
      </c>
    </row>
    <row r="158" spans="1:71" x14ac:dyDescent="0.25">
      <c r="A158" s="5">
        <v>14</v>
      </c>
      <c r="B158" s="14"/>
      <c r="C158" s="9" t="s">
        <v>172</v>
      </c>
      <c r="D158" s="10" t="s">
        <v>83</v>
      </c>
      <c r="E158" s="10" t="s">
        <v>84</v>
      </c>
      <c r="F158" s="33">
        <v>44430</v>
      </c>
      <c r="G158" s="29">
        <v>0.20833333333333334</v>
      </c>
      <c r="H158" s="28">
        <v>25</v>
      </c>
      <c r="I158" s="28">
        <v>87</v>
      </c>
      <c r="J158" s="28" t="s">
        <v>87</v>
      </c>
      <c r="K158" s="10">
        <v>61</v>
      </c>
      <c r="L158" s="47">
        <f>+((101325*(1-(2.25577*10^-5)*(K158))^5.25588))</f>
        <v>100594.34040699142</v>
      </c>
      <c r="M158" s="10">
        <f t="shared" si="118"/>
        <v>1.0059434040699142</v>
      </c>
      <c r="N158" s="10" t="s">
        <v>15</v>
      </c>
      <c r="O158" s="10">
        <f>_xll.HumidairTdbRHPsi(H158,I158,M158,N158)</f>
        <v>1.7603770274018452E-2</v>
      </c>
      <c r="P158" s="49">
        <f t="shared" si="119"/>
        <v>17.603770274018451</v>
      </c>
      <c r="Q158" s="31"/>
      <c r="R158" s="58">
        <v>17.603770274018451</v>
      </c>
      <c r="S158" s="4"/>
      <c r="T158" s="10">
        <v>14</v>
      </c>
      <c r="U158" s="10" t="s">
        <v>144</v>
      </c>
      <c r="V158" s="78">
        <f>_xll.HumidairTdbRHPsi(H158, I158,M158,U158)</f>
        <v>22.68553891214026</v>
      </c>
      <c r="W158" s="79">
        <v>22.68553891214026</v>
      </c>
      <c r="X158" s="4"/>
      <c r="Y158" s="10">
        <v>14</v>
      </c>
      <c r="Z158" s="10" t="s">
        <v>145</v>
      </c>
      <c r="AA158" s="78">
        <f>_xll.HumidairTdbRHPsi(H158,I158,M158,Z158)</f>
        <v>69.970458927426179</v>
      </c>
      <c r="AB158" s="81">
        <f t="shared" si="128"/>
        <v>106.97045892742618</v>
      </c>
      <c r="AC158" s="80">
        <v>106.97045892742618</v>
      </c>
      <c r="AE158" s="10" t="s">
        <v>146</v>
      </c>
      <c r="AF158" s="78">
        <f>_xll.HumidairTdbRHPsi(H158,I158,M158,AE158)</f>
        <v>25.154051863275779</v>
      </c>
      <c r="AG158" s="81">
        <f t="shared" si="129"/>
        <v>62.154051863275782</v>
      </c>
      <c r="AH158" s="80">
        <v>62.154051863275782</v>
      </c>
      <c r="AI158" s="4"/>
      <c r="AJ158" s="10" t="s">
        <v>150</v>
      </c>
      <c r="AK158" s="84">
        <f>_xll.HumidairTdbRHPsi(H158,I158,M158,AJ158)</f>
        <v>0.85053696627203335</v>
      </c>
      <c r="AL158" s="58">
        <v>0.85053696627203335</v>
      </c>
      <c r="AM158" s="62"/>
      <c r="AN158" s="49">
        <f t="shared" si="120"/>
        <v>0.49945377216504078</v>
      </c>
      <c r="AO158" s="81">
        <f t="shared" si="130"/>
        <v>35.24604529005623</v>
      </c>
      <c r="AP158" s="81">
        <f t="shared" si="121"/>
        <v>86.096805130706926</v>
      </c>
      <c r="AR158" s="58">
        <v>0.49945377216504078</v>
      </c>
      <c r="AS158" s="80">
        <v>35.24604529005623</v>
      </c>
      <c r="AT158" s="80">
        <v>86.096805130706926</v>
      </c>
      <c r="AU158" s="140"/>
      <c r="AV158" s="49">
        <f t="shared" si="122"/>
        <v>0.13554622783495923</v>
      </c>
      <c r="AW158" s="162">
        <f t="shared" si="123"/>
        <v>1.3554622783495924E-4</v>
      </c>
      <c r="AX158" s="10">
        <f t="shared" si="124"/>
        <v>62</v>
      </c>
      <c r="AY158" s="55">
        <f t="shared" si="125"/>
        <v>7.0004204827643045E-3</v>
      </c>
      <c r="AZ158" s="55">
        <f t="shared" si="126"/>
        <v>4.110640330454671E-3</v>
      </c>
      <c r="BB158" s="58">
        <v>0.13554622783495923</v>
      </c>
      <c r="BC158" s="167">
        <v>1.3554622783495924E-4</v>
      </c>
      <c r="BD158" s="168">
        <v>62</v>
      </c>
      <c r="BE158" s="170">
        <v>7.0004204827643045E-3</v>
      </c>
      <c r="BF158" s="171">
        <v>4.110640330454671E-3</v>
      </c>
      <c r="BH158" s="81">
        <f t="shared" si="131"/>
        <v>328.77429411808981</v>
      </c>
      <c r="BI158" s="80">
        <v>328.77429411808981</v>
      </c>
      <c r="BK158" s="81">
        <f t="shared" si="132"/>
        <v>106.97045892742618</v>
      </c>
      <c r="BL158" s="81">
        <f t="shared" si="133"/>
        <v>62.154051863275782</v>
      </c>
      <c r="BM158" s="81">
        <f t="shared" si="134"/>
        <v>44.816407064150397</v>
      </c>
      <c r="BN158" s="192">
        <f t="shared" si="135"/>
        <v>0.41896059448109846</v>
      </c>
      <c r="BO158" s="81">
        <f t="shared" si="136"/>
        <v>62</v>
      </c>
      <c r="BP158" s="49">
        <f t="shared" si="137"/>
        <v>25.975556857828103</v>
      </c>
      <c r="BQ158" s="82">
        <f t="shared" si="138"/>
        <v>6319.102322181272</v>
      </c>
      <c r="BS158" s="193">
        <v>6319.102322181272</v>
      </c>
    </row>
    <row r="159" spans="1:71" x14ac:dyDescent="0.25">
      <c r="A159">
        <v>15</v>
      </c>
      <c r="C159" s="9" t="s">
        <v>52</v>
      </c>
      <c r="D159" s="10" t="s">
        <v>53</v>
      </c>
      <c r="E159" s="10" t="s">
        <v>54</v>
      </c>
      <c r="F159" s="33">
        <v>44429</v>
      </c>
      <c r="G159" s="29">
        <v>0.91249999999999998</v>
      </c>
      <c r="H159" s="28">
        <v>10</v>
      </c>
      <c r="I159" s="28">
        <v>76</v>
      </c>
      <c r="J159" s="28" t="s">
        <v>121</v>
      </c>
      <c r="K159" s="10">
        <v>533</v>
      </c>
      <c r="L159" s="47">
        <f t="shared" ref="L159:L164" si="139">+((101325*(1-(2.25577*10^-5)*(K159))^5.25588))</f>
        <v>95083.68775760736</v>
      </c>
      <c r="M159" s="10">
        <f t="shared" si="118"/>
        <v>0.9508368775760736</v>
      </c>
      <c r="N159" s="10" t="s">
        <v>15</v>
      </c>
      <c r="O159" s="10">
        <f>_xll.HumidairTdbRHPsi(H159,I159,M159,N159)</f>
        <v>6.1887559149368023E-3</v>
      </c>
      <c r="P159" s="49">
        <f t="shared" ref="P159:P164" si="140">+O159*1000</f>
        <v>6.1887559149368023</v>
      </c>
      <c r="Q159" s="31"/>
      <c r="R159" s="58">
        <v>6.1887559149368023</v>
      </c>
      <c r="S159" s="4"/>
      <c r="T159" s="10">
        <v>15</v>
      </c>
      <c r="U159" s="10" t="s">
        <v>144</v>
      </c>
      <c r="V159" s="78">
        <f>_xll.HumidairTdbRHPsi(H159, I159,M159,U159)</f>
        <v>5.9698241383794652</v>
      </c>
      <c r="W159" s="79">
        <v>5.9698241383794652</v>
      </c>
      <c r="X159" s="4"/>
      <c r="Y159" s="10">
        <v>15</v>
      </c>
      <c r="Z159" s="10" t="s">
        <v>145</v>
      </c>
      <c r="AA159" s="78">
        <f>_xll.HumidairTdbRHPsi(H159,I159,M159,Z159)</f>
        <v>25.661383774677411</v>
      </c>
      <c r="AB159" s="81">
        <f t="shared" si="128"/>
        <v>62.661383774677411</v>
      </c>
      <c r="AC159" s="80">
        <v>62.661383774677411</v>
      </c>
      <c r="AE159" s="10" t="s">
        <v>146</v>
      </c>
      <c r="AF159" s="78">
        <f>_xll.HumidairTdbRHPsi(H159,I159,M159,AE159)</f>
        <v>10.075229671431174</v>
      </c>
      <c r="AG159" s="81">
        <f t="shared" si="129"/>
        <v>47.075229671431174</v>
      </c>
      <c r="AH159" s="80">
        <v>47.075229671431174</v>
      </c>
      <c r="AI159" s="4"/>
      <c r="AJ159" s="10" t="s">
        <v>150</v>
      </c>
      <c r="AK159" s="84">
        <f>_xll.HumidairTdbRHPsi(H159,I159,M159,AJ159)</f>
        <v>0.8544514342982501</v>
      </c>
      <c r="AL159" s="58">
        <v>0.8544514342982501</v>
      </c>
      <c r="AM159" s="62"/>
      <c r="AN159" s="49">
        <f t="shared" si="120"/>
        <v>0.49716564232730565</v>
      </c>
      <c r="AO159" s="81">
        <f t="shared" si="130"/>
        <v>12.44807643176291</v>
      </c>
      <c r="AP159" s="81">
        <f t="shared" si="121"/>
        <v>30.407372003803239</v>
      </c>
      <c r="AR159" s="58">
        <v>0.49716564232730565</v>
      </c>
      <c r="AS159" s="80">
        <v>12.44807643176291</v>
      </c>
      <c r="AT159" s="80">
        <v>30.407372003803239</v>
      </c>
      <c r="AU159" s="140"/>
      <c r="AV159" s="49">
        <f t="shared" si="122"/>
        <v>0.13783435767269436</v>
      </c>
      <c r="AW159" s="162">
        <f t="shared" si="123"/>
        <v>1.3783435767269437E-4</v>
      </c>
      <c r="AX159" s="10">
        <f t="shared" si="124"/>
        <v>47</v>
      </c>
      <c r="AY159" s="55">
        <f t="shared" si="125"/>
        <v>5.3963529372436569E-3</v>
      </c>
      <c r="AZ159" s="55">
        <f t="shared" si="126"/>
        <v>3.1687333747760756E-3</v>
      </c>
      <c r="BB159" s="58">
        <v>0.13783435767269436</v>
      </c>
      <c r="BC159" s="167">
        <v>1.3783435767269437E-4</v>
      </c>
      <c r="BD159" s="168">
        <v>47</v>
      </c>
      <c r="BE159" s="170">
        <v>5.3963529372436569E-3</v>
      </c>
      <c r="BF159" s="171">
        <v>3.1687333747760756E-3</v>
      </c>
      <c r="BH159" s="81">
        <f t="shared" si="131"/>
        <v>327.2680921146673</v>
      </c>
      <c r="BI159" s="80">
        <v>327.2680921146673</v>
      </c>
      <c r="BK159" s="81">
        <f t="shared" si="132"/>
        <v>62.661383774677411</v>
      </c>
      <c r="BL159" s="81">
        <f t="shared" si="133"/>
        <v>47.075229671431174</v>
      </c>
      <c r="BM159" s="81">
        <f t="shared" si="134"/>
        <v>15.586154103246237</v>
      </c>
      <c r="BN159" s="192">
        <f t="shared" si="135"/>
        <v>0.24873619387806883</v>
      </c>
      <c r="BO159" s="81">
        <f t="shared" si="136"/>
        <v>47</v>
      </c>
      <c r="BP159" s="49">
        <f t="shared" si="137"/>
        <v>11.690601112269235</v>
      </c>
      <c r="BQ159" s="82">
        <f t="shared" si="138"/>
        <v>3689.3609305627906</v>
      </c>
      <c r="BS159" s="193">
        <v>3689.3609305627906</v>
      </c>
    </row>
    <row r="160" spans="1:71" x14ac:dyDescent="0.25">
      <c r="A160">
        <v>16</v>
      </c>
      <c r="C160" s="9" t="s">
        <v>55</v>
      </c>
      <c r="D160" s="10" t="s">
        <v>56</v>
      </c>
      <c r="E160" s="11" t="s">
        <v>57</v>
      </c>
      <c r="F160" s="33">
        <v>44430</v>
      </c>
      <c r="G160" s="29">
        <v>0.16250000000000001</v>
      </c>
      <c r="H160" s="28">
        <v>10</v>
      </c>
      <c r="I160" s="28">
        <v>87</v>
      </c>
      <c r="J160" s="28" t="s">
        <v>88</v>
      </c>
      <c r="K160" s="10">
        <v>61</v>
      </c>
      <c r="L160" s="47">
        <f t="shared" si="139"/>
        <v>100594.34040699142</v>
      </c>
      <c r="M160" s="10">
        <f t="shared" si="118"/>
        <v>1.0059434040699142</v>
      </c>
      <c r="N160" s="10" t="s">
        <v>15</v>
      </c>
      <c r="O160" s="10">
        <f>_xll.HumidairTdbRHPsi(H160,I160,M160,N160)</f>
        <v>6.7030515377691641E-3</v>
      </c>
      <c r="P160" s="49">
        <f t="shared" si="140"/>
        <v>6.7030515377691637</v>
      </c>
      <c r="Q160" s="31"/>
      <c r="R160" s="58">
        <v>6.7030515377691637</v>
      </c>
      <c r="S160" s="4"/>
      <c r="T160" s="10">
        <v>16</v>
      </c>
      <c r="U160" s="10" t="s">
        <v>144</v>
      </c>
      <c r="V160" s="78">
        <f>_xll.HumidairTdbRHPsi(H160, I160,M160,U160)</f>
        <v>7.9386326309105471</v>
      </c>
      <c r="W160" s="79">
        <v>7.9386326309105471</v>
      </c>
      <c r="X160" s="4"/>
      <c r="Y160" s="10">
        <v>16</v>
      </c>
      <c r="Z160" s="10" t="s">
        <v>145</v>
      </c>
      <c r="AA160" s="78">
        <f>_xll.HumidairTdbRHPsi(H160,I160,M160,Z160)</f>
        <v>26.941624385167874</v>
      </c>
      <c r="AB160" s="81">
        <f t="shared" si="128"/>
        <v>63.94162438516787</v>
      </c>
      <c r="AC160" s="80">
        <v>63.94162438516787</v>
      </c>
      <c r="AE160" s="10" t="s">
        <v>146</v>
      </c>
      <c r="AF160" s="78">
        <f>_xll.HumidairTdbRHPsi(H160,I160,M160,AE160)</f>
        <v>10.061049273887031</v>
      </c>
      <c r="AG160" s="81">
        <f t="shared" si="129"/>
        <v>47.061049273887029</v>
      </c>
      <c r="AH160" s="80">
        <v>47.061049273887029</v>
      </c>
      <c r="AI160" s="4"/>
      <c r="AJ160" s="10" t="s">
        <v>150</v>
      </c>
      <c r="AK160" s="84">
        <f>_xll.HumidairTdbRHPsi(H160,I160,M160,AJ160)</f>
        <v>0.80762355546510733</v>
      </c>
      <c r="AL160" s="58">
        <v>0.80762355546510733</v>
      </c>
      <c r="AM160" s="62"/>
      <c r="AN160" s="49">
        <f t="shared" si="120"/>
        <v>0.52599245440003817</v>
      </c>
      <c r="AO160" s="81">
        <f t="shared" si="130"/>
        <v>12.743626798629371</v>
      </c>
      <c r="AP160" s="81">
        <f t="shared" si="121"/>
        <v>31.129323704568645</v>
      </c>
      <c r="AR160" s="58">
        <v>0.52599245440003817</v>
      </c>
      <c r="AS160" s="80">
        <v>12.743626798629371</v>
      </c>
      <c r="AT160" s="80">
        <v>31.129323704568645</v>
      </c>
      <c r="AU160" s="140"/>
      <c r="AV160" s="49">
        <f t="shared" si="122"/>
        <v>0.10900754559996184</v>
      </c>
      <c r="AW160" s="162">
        <f t="shared" si="123"/>
        <v>1.0900754559996184E-4</v>
      </c>
      <c r="AX160" s="10">
        <f t="shared" si="124"/>
        <v>47</v>
      </c>
      <c r="AY160" s="55">
        <f t="shared" si="125"/>
        <v>4.2677544177841063E-3</v>
      </c>
      <c r="AZ160" s="55">
        <f t="shared" si="126"/>
        <v>2.5060213844886117E-3</v>
      </c>
      <c r="BB160" s="58">
        <v>0.10900754559996184</v>
      </c>
      <c r="BC160" s="167">
        <v>1.0900754559996184E-4</v>
      </c>
      <c r="BD160" s="168">
        <v>47</v>
      </c>
      <c r="BE160" s="170">
        <v>4.2677544177841063E-3</v>
      </c>
      <c r="BF160" s="171">
        <v>2.5060213844886117E-3</v>
      </c>
      <c r="BH160" s="81">
        <f t="shared" si="131"/>
        <v>346.24385187278102</v>
      </c>
      <c r="BI160" s="80">
        <v>346.24385187278102</v>
      </c>
      <c r="BK160" s="81">
        <f t="shared" si="132"/>
        <v>63.94162438516787</v>
      </c>
      <c r="BL160" s="81">
        <f t="shared" si="133"/>
        <v>47.061049273887029</v>
      </c>
      <c r="BM160" s="81">
        <f t="shared" si="134"/>
        <v>16.880575111280841</v>
      </c>
      <c r="BN160" s="192">
        <f t="shared" si="135"/>
        <v>0.26399978532914031</v>
      </c>
      <c r="BO160" s="81">
        <f t="shared" si="136"/>
        <v>47</v>
      </c>
      <c r="BP160" s="49">
        <f t="shared" si="137"/>
        <v>12.407989910469595</v>
      </c>
      <c r="BQ160" s="82">
        <f t="shared" si="138"/>
        <v>4951.270562681817</v>
      </c>
      <c r="BS160" s="193">
        <v>4951.270562681817</v>
      </c>
    </row>
    <row r="161" spans="1:71" x14ac:dyDescent="0.25">
      <c r="A161">
        <v>17</v>
      </c>
      <c r="B161" s="1" t="s">
        <v>58</v>
      </c>
      <c r="C161" s="15" t="s">
        <v>59</v>
      </c>
      <c r="D161" s="16" t="s">
        <v>60</v>
      </c>
      <c r="E161" s="4" t="s">
        <v>61</v>
      </c>
      <c r="F161" s="33">
        <v>44430</v>
      </c>
      <c r="G161" s="29">
        <v>0.49374999999999997</v>
      </c>
      <c r="H161" s="28">
        <v>16</v>
      </c>
      <c r="I161" s="28">
        <v>50</v>
      </c>
      <c r="J161" s="36" t="s">
        <v>120</v>
      </c>
      <c r="K161" s="10">
        <v>9</v>
      </c>
      <c r="L161" s="47">
        <f t="shared" si="139"/>
        <v>101216.9283556498</v>
      </c>
      <c r="M161" s="10">
        <f t="shared" si="118"/>
        <v>1.0121692835564979</v>
      </c>
      <c r="N161" s="10" t="s">
        <v>15</v>
      </c>
      <c r="O161" s="10">
        <f>_xll.HumidairTdbRHPsi(H161,I161,M161,N161)</f>
        <v>5.6605800033481344E-3</v>
      </c>
      <c r="P161" s="49">
        <f t="shared" si="140"/>
        <v>5.6605800033481346</v>
      </c>
      <c r="Q161" s="31"/>
      <c r="R161" s="58">
        <v>5.6605800033481346</v>
      </c>
      <c r="S161" s="4"/>
      <c r="T161" s="10">
        <v>17</v>
      </c>
      <c r="U161" s="10" t="s">
        <v>144</v>
      </c>
      <c r="V161" s="78">
        <f>_xll.HumidairTdbRHPsi(H161, I161,M161,U161)</f>
        <v>5.5938272732667542</v>
      </c>
      <c r="W161" s="79">
        <v>5.5938272732667542</v>
      </c>
      <c r="X161" s="4"/>
      <c r="Y161" s="10">
        <v>17</v>
      </c>
      <c r="Z161" s="10" t="s">
        <v>145</v>
      </c>
      <c r="AA161" s="78">
        <f>_xll.HumidairTdbRHPsi(H161,I161,M161,Z161)</f>
        <v>30.415425387494587</v>
      </c>
      <c r="AB161" s="81">
        <f t="shared" si="128"/>
        <v>67.415425387494594</v>
      </c>
      <c r="AC161" s="80">
        <v>67.415425387494594</v>
      </c>
      <c r="AE161" s="10" t="s">
        <v>146</v>
      </c>
      <c r="AF161" s="78">
        <f>_xll.HumidairTdbRHPsi(H161,I161,M161,AE161)</f>
        <v>16.095961421506534</v>
      </c>
      <c r="AG161" s="81">
        <f t="shared" si="129"/>
        <v>53.09596142150653</v>
      </c>
      <c r="AH161" s="80">
        <v>53.09596142150653</v>
      </c>
      <c r="AI161" s="4"/>
      <c r="AJ161" s="10" t="s">
        <v>150</v>
      </c>
      <c r="AK161" s="84">
        <f>_xll.HumidairTdbRHPsi(H161,I161,M161,AJ161)</f>
        <v>0.81971529020377698</v>
      </c>
      <c r="AL161" s="58">
        <v>0.81971529020377698</v>
      </c>
      <c r="AM161" s="62"/>
      <c r="AN161" s="49">
        <f t="shared" si="120"/>
        <v>0.51823346623773858</v>
      </c>
      <c r="AO161" s="81">
        <f t="shared" si="130"/>
        <v>10.922837624599401</v>
      </c>
      <c r="AP161" s="81">
        <f t="shared" si="121"/>
        <v>26.68161533302019</v>
      </c>
      <c r="AR161" s="58">
        <v>0.51823346623773858</v>
      </c>
      <c r="AS161" s="80">
        <v>10.922837624599401</v>
      </c>
      <c r="AT161" s="80">
        <v>26.68161533302019</v>
      </c>
      <c r="AU161" s="140"/>
      <c r="AV161" s="49">
        <f t="shared" si="122"/>
        <v>0.11676653376226143</v>
      </c>
      <c r="AW161" s="162">
        <f t="shared" si="123"/>
        <v>1.1676653376226143E-4</v>
      </c>
      <c r="AX161" s="10">
        <f t="shared" si="124"/>
        <v>53</v>
      </c>
      <c r="AY161" s="55">
        <f t="shared" si="125"/>
        <v>5.1551256990700796E-3</v>
      </c>
      <c r="AZ161" s="55">
        <f t="shared" si="126"/>
        <v>3.0270849671580032E-3</v>
      </c>
      <c r="BB161" s="58">
        <v>0.11676653376226143</v>
      </c>
      <c r="BC161" s="167">
        <v>1.1676653376226143E-4</v>
      </c>
      <c r="BD161" s="168">
        <v>53</v>
      </c>
      <c r="BE161" s="170">
        <v>5.1551256990700796E-3</v>
      </c>
      <c r="BF161" s="171">
        <v>3.0270849671580032E-3</v>
      </c>
      <c r="BH161" s="81">
        <f t="shared" si="131"/>
        <v>341.13636045255862</v>
      </c>
      <c r="BI161" s="80">
        <v>341.13636045255862</v>
      </c>
      <c r="BK161" s="81">
        <f t="shared" si="132"/>
        <v>67.415425387494594</v>
      </c>
      <c r="BL161" s="81">
        <f t="shared" si="133"/>
        <v>53.09596142150653</v>
      </c>
      <c r="BM161" s="81">
        <f t="shared" si="134"/>
        <v>14.319463965988064</v>
      </c>
      <c r="BN161" s="192">
        <f t="shared" si="135"/>
        <v>0.21240634296500771</v>
      </c>
      <c r="BO161" s="81">
        <f t="shared" si="136"/>
        <v>53</v>
      </c>
      <c r="BP161" s="49">
        <f t="shared" si="137"/>
        <v>11.257536177145409</v>
      </c>
      <c r="BQ161" s="82">
        <f t="shared" si="138"/>
        <v>3718.9363031704443</v>
      </c>
      <c r="BS161" s="193">
        <v>3718.9363031704443</v>
      </c>
    </row>
    <row r="162" spans="1:71" x14ac:dyDescent="0.25">
      <c r="A162">
        <v>18</v>
      </c>
      <c r="C162" s="9" t="s">
        <v>62</v>
      </c>
      <c r="D162" s="10" t="s">
        <v>63</v>
      </c>
      <c r="E162" s="11" t="s">
        <v>64</v>
      </c>
      <c r="F162" s="33">
        <v>44430</v>
      </c>
      <c r="G162" s="29">
        <v>0.58194444444444449</v>
      </c>
      <c r="H162" s="28">
        <v>11</v>
      </c>
      <c r="I162" s="28">
        <v>60</v>
      </c>
      <c r="J162" s="28" t="s">
        <v>85</v>
      </c>
      <c r="K162" s="10">
        <v>6</v>
      </c>
      <c r="L162" s="47">
        <f t="shared" si="139"/>
        <v>101252.94186124044</v>
      </c>
      <c r="M162" s="10">
        <f t="shared" si="118"/>
        <v>1.0125294186124043</v>
      </c>
      <c r="N162" s="10" t="s">
        <v>15</v>
      </c>
      <c r="O162" s="10">
        <f>_xll.HumidairTdbRHPsi(H162,I162,M162,N162)</f>
        <v>4.8956906386807674E-3</v>
      </c>
      <c r="P162" s="49">
        <f t="shared" si="140"/>
        <v>4.895690638680767</v>
      </c>
      <c r="Q162" s="31"/>
      <c r="R162" s="58">
        <v>4.895690638680767</v>
      </c>
      <c r="S162" s="4"/>
      <c r="T162" s="82">
        <v>18</v>
      </c>
      <c r="U162" s="10" t="s">
        <v>144</v>
      </c>
      <c r="V162" s="78">
        <f>_xll.HumidairTdbRHPsi(H162, I162,M162,U162)</f>
        <v>3.5420639910029763</v>
      </c>
      <c r="W162" s="79">
        <v>3.5420639910029763</v>
      </c>
      <c r="X162" s="4"/>
      <c r="Y162" s="82">
        <v>18</v>
      </c>
      <c r="Z162" s="10" t="s">
        <v>145</v>
      </c>
      <c r="AA162" s="78">
        <f>_xll.HumidairTdbRHPsi(H162,I162,M162,Z162)</f>
        <v>23.404297270351503</v>
      </c>
      <c r="AB162" s="81">
        <f t="shared" si="128"/>
        <v>60.404297270351506</v>
      </c>
      <c r="AC162" s="80">
        <v>60.404297270351506</v>
      </c>
      <c r="AE162" s="10" t="s">
        <v>146</v>
      </c>
      <c r="AF162" s="78">
        <f>_xll.HumidairTdbRHPsi(H162,I162,M162,AE162)</f>
        <v>11.065380398207038</v>
      </c>
      <c r="AG162" s="81">
        <f t="shared" si="129"/>
        <v>48.06538039820704</v>
      </c>
      <c r="AH162" s="80">
        <v>48.06538039820704</v>
      </c>
      <c r="AI162" s="4"/>
      <c r="AJ162" s="10" t="s">
        <v>150</v>
      </c>
      <c r="AK162" s="84">
        <f>_xll.HumidairTdbRHPsi(H162,I162,M162,AJ162)</f>
        <v>0.80521072807188498</v>
      </c>
      <c r="AL162" s="58">
        <v>0.80521072807188498</v>
      </c>
      <c r="AM162" s="62"/>
      <c r="AN162" s="49">
        <f t="shared" si="120"/>
        <v>0.52756859957341862</v>
      </c>
      <c r="AO162" s="81">
        <f t="shared" si="130"/>
        <v>9.2797233243967217</v>
      </c>
      <c r="AP162" s="81">
        <f t="shared" si="121"/>
        <v>22.667919880159289</v>
      </c>
      <c r="AR162" s="58">
        <v>0.52756859957341862</v>
      </c>
      <c r="AS162" s="80">
        <v>9.2797233243967217</v>
      </c>
      <c r="AT162" s="80">
        <v>22.667919880159289</v>
      </c>
      <c r="AU162" s="140"/>
      <c r="AV162" s="49">
        <f t="shared" si="122"/>
        <v>0.10743140042658139</v>
      </c>
      <c r="AW162" s="162">
        <f t="shared" si="123"/>
        <v>1.0743140042658139E-4</v>
      </c>
      <c r="AX162" s="10">
        <f t="shared" si="124"/>
        <v>48</v>
      </c>
      <c r="AY162" s="55">
        <f t="shared" si="125"/>
        <v>4.2955371146564296E-3</v>
      </c>
      <c r="AZ162" s="55">
        <f t="shared" si="126"/>
        <v>2.5223353579896827E-3</v>
      </c>
      <c r="BB162" s="58">
        <v>0.10743140042658139</v>
      </c>
      <c r="BC162" s="167">
        <v>1.0743140042658139E-4</v>
      </c>
      <c r="BD162" s="168">
        <v>48</v>
      </c>
      <c r="BE162" s="170">
        <v>4.2955371146564296E-3</v>
      </c>
      <c r="BF162" s="171">
        <v>2.5223353579896827E-3</v>
      </c>
      <c r="BH162" s="81">
        <f t="shared" si="131"/>
        <v>347.2813773569905</v>
      </c>
      <c r="BI162" s="80">
        <v>347.2813773569905</v>
      </c>
      <c r="BK162" s="81">
        <f t="shared" si="132"/>
        <v>60.404297270351506</v>
      </c>
      <c r="BL162" s="81">
        <f t="shared" si="133"/>
        <v>48.06538039820704</v>
      </c>
      <c r="BM162" s="81">
        <f t="shared" si="134"/>
        <v>12.338916872144466</v>
      </c>
      <c r="BN162" s="192">
        <f t="shared" si="135"/>
        <v>0.20427216985770363</v>
      </c>
      <c r="BO162" s="81">
        <f t="shared" si="136"/>
        <v>48</v>
      </c>
      <c r="BP162" s="49">
        <f t="shared" si="137"/>
        <v>9.8050641531697735</v>
      </c>
      <c r="BQ162" s="82">
        <f t="shared" si="138"/>
        <v>3887.2960021400454</v>
      </c>
      <c r="BS162" s="193">
        <v>3887.2960021400454</v>
      </c>
    </row>
    <row r="163" spans="1:71" x14ac:dyDescent="0.25">
      <c r="A163" s="5">
        <v>19</v>
      </c>
      <c r="B163" s="14"/>
      <c r="C163" s="15" t="s">
        <v>65</v>
      </c>
      <c r="D163" s="16" t="s">
        <v>66</v>
      </c>
      <c r="E163" s="4" t="s">
        <v>67</v>
      </c>
      <c r="F163" s="33">
        <v>44429</v>
      </c>
      <c r="G163" s="29">
        <v>0.95486111111111116</v>
      </c>
      <c r="H163" s="28">
        <v>0</v>
      </c>
      <c r="I163" s="28">
        <v>97</v>
      </c>
      <c r="J163" s="28" t="s">
        <v>122</v>
      </c>
      <c r="K163" s="10">
        <v>15</v>
      </c>
      <c r="L163" s="47">
        <f t="shared" si="139"/>
        <v>101144.93246061618</v>
      </c>
      <c r="M163" s="10">
        <f t="shared" si="118"/>
        <v>1.0114493246061618</v>
      </c>
      <c r="N163" s="10" t="s">
        <v>15</v>
      </c>
      <c r="O163" s="10">
        <f>_xll.HumidairTdbRHPsi(H163,I163,M163,N163)</f>
        <v>3.6815097888847192E-3</v>
      </c>
      <c r="P163" s="49">
        <f t="shared" si="140"/>
        <v>3.681509788884719</v>
      </c>
      <c r="Q163" s="31"/>
      <c r="R163" s="58">
        <v>3.681509788884719</v>
      </c>
      <c r="S163" s="4"/>
      <c r="T163" s="82">
        <v>19</v>
      </c>
      <c r="U163" s="10" t="s">
        <v>144</v>
      </c>
      <c r="V163" s="78">
        <f>_xll.HumidairTdbRHPsi(H163, I163,M163,U163)</f>
        <v>-0.37039838289064164</v>
      </c>
      <c r="W163" s="79">
        <v>-0.37039838289064164</v>
      </c>
      <c r="X163" s="4"/>
      <c r="Y163" s="82">
        <v>19</v>
      </c>
      <c r="Z163" s="10" t="s">
        <v>145</v>
      </c>
      <c r="AA163" s="78">
        <f>_xll.HumidairTdbRHPsi(H163,I163,M163,Z163)</f>
        <v>9.2037484186117737</v>
      </c>
      <c r="AB163" s="81">
        <f t="shared" si="128"/>
        <v>46.203748418611774</v>
      </c>
      <c r="AC163" s="80">
        <v>46.203748418611774</v>
      </c>
      <c r="AE163" s="10" t="s">
        <v>146</v>
      </c>
      <c r="AF163" s="78">
        <f>_xll.HumidairTdbRHPsi(H163,I163,M163,AE163)</f>
        <v>4.9825872967614775E-4</v>
      </c>
      <c r="AG163" s="81">
        <f t="shared" si="129"/>
        <v>37.000498258729678</v>
      </c>
      <c r="AH163" s="80">
        <v>37.000498258729678</v>
      </c>
      <c r="AI163" s="4"/>
      <c r="AJ163" s="10" t="s">
        <v>150</v>
      </c>
      <c r="AK163" s="84">
        <f>_xll.HumidairTdbRHPsi(H163,I163,M163,AJ163)</f>
        <v>0.7747633236947149</v>
      </c>
      <c r="AL163" s="58">
        <v>0.7747633236947149</v>
      </c>
      <c r="AM163" s="62"/>
      <c r="AN163" s="49">
        <f t="shared" si="120"/>
        <v>0.54830150470282901</v>
      </c>
      <c r="AO163" s="81">
        <f t="shared" si="130"/>
        <v>6.7143893593362298</v>
      </c>
      <c r="AP163" s="81">
        <f t="shared" si="121"/>
        <v>16.401484690980524</v>
      </c>
      <c r="AR163" s="58">
        <v>0.54830150470282901</v>
      </c>
      <c r="AS163" s="80">
        <v>6.7143893593362298</v>
      </c>
      <c r="AT163" s="80">
        <v>16.401484690980524</v>
      </c>
      <c r="AU163" s="140"/>
      <c r="AV163" s="49">
        <f t="shared" si="122"/>
        <v>8.6698495297170997E-2</v>
      </c>
      <c r="AW163" s="162">
        <f t="shared" si="123"/>
        <v>8.6698495297170996E-5</v>
      </c>
      <c r="AX163" s="10">
        <f t="shared" si="124"/>
        <v>37</v>
      </c>
      <c r="AY163" s="55">
        <f t="shared" si="125"/>
        <v>2.6721343235541072E-3</v>
      </c>
      <c r="AZ163" s="55">
        <f t="shared" si="126"/>
        <v>1.5690747642713488E-3</v>
      </c>
      <c r="BB163" s="58">
        <v>8.6698495297170997E-2</v>
      </c>
      <c r="BC163" s="167">
        <v>8.6698495297170996E-5</v>
      </c>
      <c r="BD163" s="168">
        <v>37</v>
      </c>
      <c r="BE163" s="170">
        <v>2.6721343235541072E-3</v>
      </c>
      <c r="BF163" s="171">
        <v>1.5690747642713488E-3</v>
      </c>
      <c r="BH163" s="81">
        <f t="shared" si="131"/>
        <v>360.92917947367323</v>
      </c>
      <c r="BI163" s="80">
        <v>360.92917947367323</v>
      </c>
      <c r="BK163" s="81">
        <f t="shared" si="132"/>
        <v>46.203748418611774</v>
      </c>
      <c r="BL163" s="81">
        <f t="shared" si="133"/>
        <v>37.000498258729678</v>
      </c>
      <c r="BM163" s="81">
        <f t="shared" si="134"/>
        <v>9.2032501598820957</v>
      </c>
      <c r="BN163" s="192">
        <f t="shared" si="135"/>
        <v>0.19918838784462878</v>
      </c>
      <c r="BO163" s="81">
        <f t="shared" si="136"/>
        <v>37</v>
      </c>
      <c r="BP163" s="49">
        <f t="shared" si="137"/>
        <v>7.3699703502512648</v>
      </c>
      <c r="BQ163" s="82">
        <f t="shared" si="138"/>
        <v>4697.0166865654428</v>
      </c>
      <c r="BS163" s="193">
        <v>4697.0166865654428</v>
      </c>
    </row>
    <row r="164" spans="1:71" x14ac:dyDescent="0.25">
      <c r="A164" s="5">
        <v>20</v>
      </c>
      <c r="B164" s="17" t="s">
        <v>68</v>
      </c>
      <c r="C164" s="9" t="s">
        <v>69</v>
      </c>
      <c r="D164" s="10" t="s">
        <v>70</v>
      </c>
      <c r="E164" s="18" t="s">
        <v>71</v>
      </c>
      <c r="F164" s="33">
        <v>44430</v>
      </c>
      <c r="G164" s="29">
        <v>0.58124999999999993</v>
      </c>
      <c r="H164" s="28">
        <v>-33</v>
      </c>
      <c r="I164" s="28">
        <v>51</v>
      </c>
      <c r="J164" s="28" t="s">
        <v>92</v>
      </c>
      <c r="K164" s="10">
        <v>10</v>
      </c>
      <c r="L164" s="47">
        <f t="shared" si="139"/>
        <v>101204.92615896827</v>
      </c>
      <c r="M164" s="10">
        <f t="shared" si="118"/>
        <v>1.0120492615896828</v>
      </c>
      <c r="N164" s="10" t="s">
        <v>15</v>
      </c>
      <c r="O164" s="55">
        <f>_xll.HumidairTdbRHPsi(H164,I164,M164,N164)</f>
        <v>8.7301524270429976E-5</v>
      </c>
      <c r="P164" s="49">
        <f t="shared" si="140"/>
        <v>8.7301524270429975E-2</v>
      </c>
      <c r="Q164" s="31"/>
      <c r="R164" s="58">
        <v>8.7301524270429975E-2</v>
      </c>
      <c r="S164" s="4"/>
      <c r="T164" s="82">
        <v>20</v>
      </c>
      <c r="U164" s="10" t="s">
        <v>144</v>
      </c>
      <c r="V164" s="78">
        <f>_xll.HumidairTdbRHPsi(H164, I164,M164,U164)</f>
        <v>-39.15406298814051</v>
      </c>
      <c r="W164" s="80">
        <v>-39.15406298814051</v>
      </c>
      <c r="X164" s="4"/>
      <c r="Y164" s="82">
        <v>20</v>
      </c>
      <c r="Z164" s="10" t="s">
        <v>145</v>
      </c>
      <c r="AA164" s="78">
        <f>_xll.HumidairTdbRHPsi(H164,I164,M164,Z164)</f>
        <v>-32.975685324006747</v>
      </c>
      <c r="AB164" s="81">
        <f t="shared" si="128"/>
        <v>4.0243146759932529</v>
      </c>
      <c r="AC164" s="80">
        <v>4.0243146759932529</v>
      </c>
      <c r="AE164" s="10" t="s">
        <v>146</v>
      </c>
      <c r="AF164" s="78">
        <f>_xll.HumidairTdbRHPsi(H164,I164,M164,AE164)</f>
        <v>-33.188591489948642</v>
      </c>
      <c r="AG164" s="81">
        <f t="shared" si="129"/>
        <v>3.8114085100513577</v>
      </c>
      <c r="AH164" s="80">
        <v>3.8114085100513577</v>
      </c>
      <c r="AI164" s="4"/>
      <c r="AJ164" s="10" t="s">
        <v>150</v>
      </c>
      <c r="AK164" s="84">
        <f>_xll.HumidairTdbRHPsi(H164,I164,M164,AJ164)</f>
        <v>0.68037540566799737</v>
      </c>
      <c r="AL164" s="58">
        <v>0.68037540566799737</v>
      </c>
      <c r="AM164" s="62"/>
      <c r="AN164" s="49">
        <f t="shared" si="120"/>
        <v>0.62436691954392687</v>
      </c>
      <c r="AO164" s="81">
        <f t="shared" si="130"/>
        <v>0.13982407065095628</v>
      </c>
      <c r="AP164" s="81">
        <f t="shared" si="121"/>
        <v>0.3415533761120686</v>
      </c>
      <c r="AR164" s="58">
        <v>0.62436691954392687</v>
      </c>
      <c r="AS164" s="80">
        <v>0.13982407065095628</v>
      </c>
      <c r="AT164" s="80">
        <v>0.3415533761120686</v>
      </c>
      <c r="AU164" s="140"/>
      <c r="AV164" s="49">
        <f t="shared" si="122"/>
        <v>1.0633080456073141E-2</v>
      </c>
      <c r="AW164" s="162">
        <f t="shared" si="123"/>
        <v>1.0633080456073141E-5</v>
      </c>
      <c r="AX164" s="10">
        <f t="shared" si="124"/>
        <v>4</v>
      </c>
      <c r="AY164" s="55">
        <f t="shared" si="125"/>
        <v>3.5429424079635702E-5</v>
      </c>
      <c r="AZ164" s="55">
        <f t="shared" si="126"/>
        <v>2.0804124532962829E-5</v>
      </c>
      <c r="BB164" s="58">
        <v>1.0633080456073141E-2</v>
      </c>
      <c r="BC164" s="167">
        <v>1.0633080456073141E-5</v>
      </c>
      <c r="BD164" s="168">
        <v>4</v>
      </c>
      <c r="BE164" s="170">
        <v>3.5429424079635702E-5</v>
      </c>
      <c r="BF164" s="171">
        <v>2.0804124532962829E-5</v>
      </c>
      <c r="BH164" s="81">
        <f t="shared" si="131"/>
        <v>411.00058640844321</v>
      </c>
      <c r="BI164" s="80">
        <v>411.00058640844321</v>
      </c>
      <c r="BK164" s="78">
        <f t="shared" ref="BK164" si="141">+AB164</f>
        <v>4.0243146759932529</v>
      </c>
      <c r="BL164" s="81">
        <f t="shared" ref="BL164" si="142">+AG164</f>
        <v>3.8114085100513577</v>
      </c>
      <c r="BM164" s="81">
        <f t="shared" ref="BM164" si="143">+BK164-BL164</f>
        <v>0.21290616594189515</v>
      </c>
      <c r="BN164" s="192">
        <f t="shared" ref="BN164" si="144">+BM164/BK164</f>
        <v>5.2904949807223302E-2</v>
      </c>
      <c r="BO164" s="81">
        <v>0</v>
      </c>
      <c r="BP164" s="49">
        <f t="shared" ref="BP164" si="145">+BN164*BO164*-1</f>
        <v>0</v>
      </c>
      <c r="BQ164" s="82"/>
      <c r="BS164" s="9"/>
    </row>
    <row r="166" spans="1:71" x14ac:dyDescent="0.25">
      <c r="AN166" s="4" t="s">
        <v>230</v>
      </c>
    </row>
    <row r="167" spans="1:71" x14ac:dyDescent="0.25">
      <c r="AH167" s="197"/>
      <c r="AK167" s="86" t="s">
        <v>157</v>
      </c>
      <c r="AN167" s="4">
        <v>412.91</v>
      </c>
      <c r="AO167" s="139" t="s">
        <v>231</v>
      </c>
      <c r="AX167" s="4" t="s">
        <v>192</v>
      </c>
      <c r="AY167" s="27" t="s">
        <v>271</v>
      </c>
      <c r="AZ167" s="86" t="s">
        <v>157</v>
      </c>
      <c r="BD167" s="70" t="s">
        <v>192</v>
      </c>
      <c r="BE167" s="70" t="s">
        <v>271</v>
      </c>
      <c r="BF167" s="83"/>
      <c r="BH167" s="27" t="s">
        <v>233</v>
      </c>
      <c r="BI167" s="70" t="s">
        <v>233</v>
      </c>
      <c r="BK167" s="86" t="s">
        <v>157</v>
      </c>
      <c r="BQ167" s="4"/>
      <c r="BS167" s="57"/>
    </row>
    <row r="168" spans="1:71" x14ac:dyDescent="0.25">
      <c r="K168" s="2"/>
      <c r="M168" s="30"/>
      <c r="N168" s="25"/>
      <c r="O168" s="25"/>
      <c r="R168" s="66" t="s">
        <v>167</v>
      </c>
      <c r="T168" s="69"/>
      <c r="Y168" t="s">
        <v>166</v>
      </c>
      <c r="AB168" s="4"/>
      <c r="AC168" s="57"/>
      <c r="AG168" s="4"/>
      <c r="AH168" s="57"/>
      <c r="AK168" s="26" t="s">
        <v>192</v>
      </c>
      <c r="AL168" s="70" t="s">
        <v>192</v>
      </c>
      <c r="AN168" s="4">
        <v>1.8171900000000001E-2</v>
      </c>
      <c r="AO168" s="139" t="s">
        <v>176</v>
      </c>
      <c r="AX168" s="4" t="s">
        <v>193</v>
      </c>
      <c r="AY168" s="16" t="s">
        <v>193</v>
      </c>
      <c r="BD168" s="72" t="s">
        <v>193</v>
      </c>
      <c r="BE168" s="72" t="s">
        <v>193</v>
      </c>
      <c r="BF168" s="83"/>
      <c r="BH168" s="16" t="s">
        <v>255</v>
      </c>
      <c r="BI168" s="72" t="s">
        <v>255</v>
      </c>
      <c r="BQ168" s="27" t="s">
        <v>306</v>
      </c>
      <c r="BS168" s="70" t="s">
        <v>306</v>
      </c>
    </row>
    <row r="169" spans="1:71" x14ac:dyDescent="0.25">
      <c r="B169" s="45">
        <v>44460</v>
      </c>
      <c r="C169" s="2"/>
      <c r="G169" s="51"/>
      <c r="I169" s="52"/>
      <c r="P169" s="4" t="s">
        <v>72</v>
      </c>
      <c r="R169" s="203" t="s">
        <v>72</v>
      </c>
      <c r="T169" t="s">
        <v>140</v>
      </c>
      <c r="AA169" s="71" t="s">
        <v>134</v>
      </c>
      <c r="AB169" s="27" t="s">
        <v>300</v>
      </c>
      <c r="AC169" s="70" t="s">
        <v>300</v>
      </c>
      <c r="AF169" s="71" t="s">
        <v>134</v>
      </c>
      <c r="AG169" s="27" t="s">
        <v>314</v>
      </c>
      <c r="AH169" s="70" t="s">
        <v>314</v>
      </c>
      <c r="AK169" s="15" t="s">
        <v>147</v>
      </c>
      <c r="AL169" s="72" t="s">
        <v>147</v>
      </c>
      <c r="AN169" s="4">
        <v>1.8405999999999999E-2</v>
      </c>
      <c r="AO169" t="s">
        <v>232</v>
      </c>
      <c r="AQ169" t="s">
        <v>187</v>
      </c>
      <c r="AS169" s="176" t="s">
        <v>315</v>
      </c>
      <c r="AT169" s="87" t="s">
        <v>317</v>
      </c>
      <c r="AV169" s="163" t="s">
        <v>270</v>
      </c>
      <c r="AX169" s="4">
        <v>0.83299999999999996</v>
      </c>
      <c r="AY169" s="16" t="s">
        <v>272</v>
      </c>
      <c r="AZ169" s="27" t="s">
        <v>274</v>
      </c>
      <c r="BB169" s="70" t="s">
        <v>270</v>
      </c>
      <c r="BD169" s="72">
        <v>0.83299999999999996</v>
      </c>
      <c r="BE169" s="72" t="s">
        <v>272</v>
      </c>
      <c r="BF169" s="70" t="s">
        <v>274</v>
      </c>
      <c r="BH169" s="16" t="s">
        <v>282</v>
      </c>
      <c r="BI169" s="72" t="s">
        <v>282</v>
      </c>
      <c r="BK169" s="27" t="s">
        <v>297</v>
      </c>
      <c r="BL169" s="27" t="s">
        <v>299</v>
      </c>
      <c r="BM169" s="26" t="s">
        <v>301</v>
      </c>
      <c r="BO169" s="163" t="s">
        <v>304</v>
      </c>
      <c r="BQ169" s="16" t="s">
        <v>291</v>
      </c>
      <c r="BS169" s="72" t="s">
        <v>291</v>
      </c>
    </row>
    <row r="170" spans="1:71" x14ac:dyDescent="0.25">
      <c r="G170" s="4" t="s">
        <v>0</v>
      </c>
      <c r="K170" s="4" t="s">
        <v>1</v>
      </c>
      <c r="L170" s="4" t="s">
        <v>2</v>
      </c>
      <c r="O170" s="4" t="s">
        <v>72</v>
      </c>
      <c r="P170" s="4" t="s">
        <v>81</v>
      </c>
      <c r="Q170" s="4"/>
      <c r="R170" s="72" t="s">
        <v>81</v>
      </c>
      <c r="V170" s="26" t="s">
        <v>310</v>
      </c>
      <c r="W170" s="87" t="s">
        <v>310</v>
      </c>
      <c r="AA170" s="73" t="s">
        <v>141</v>
      </c>
      <c r="AB170" s="16" t="s">
        <v>141</v>
      </c>
      <c r="AC170" s="72" t="s">
        <v>141</v>
      </c>
      <c r="AF170" s="42" t="s">
        <v>141</v>
      </c>
      <c r="AG170" s="16" t="s">
        <v>141</v>
      </c>
      <c r="AH170" s="72" t="s">
        <v>141</v>
      </c>
      <c r="AK170" s="15" t="s">
        <v>148</v>
      </c>
      <c r="AL170" s="72" t="s">
        <v>148</v>
      </c>
      <c r="AN170" s="27" t="s">
        <v>235</v>
      </c>
      <c r="AO170" s="27" t="s">
        <v>233</v>
      </c>
      <c r="AP170" s="27" t="s">
        <v>233</v>
      </c>
      <c r="AR170" s="176" t="s">
        <v>320</v>
      </c>
      <c r="AS170" s="199" t="s">
        <v>316</v>
      </c>
      <c r="AT170" s="72" t="s">
        <v>318</v>
      </c>
      <c r="AV170" s="73" t="s">
        <v>275</v>
      </c>
      <c r="AW170" s="163" t="s">
        <v>270</v>
      </c>
      <c r="AY170" s="16" t="s">
        <v>251</v>
      </c>
      <c r="AZ170" s="16">
        <v>1.7030000000000001</v>
      </c>
      <c r="BB170" s="72" t="s">
        <v>275</v>
      </c>
      <c r="BC170" s="176" t="s">
        <v>270</v>
      </c>
      <c r="BD170" s="74"/>
      <c r="BE170" s="72" t="s">
        <v>251</v>
      </c>
      <c r="BF170" s="72">
        <v>1.7030000000000001</v>
      </c>
      <c r="BH170" s="173" t="s">
        <v>187</v>
      </c>
      <c r="BI170" s="72" t="s">
        <v>187</v>
      </c>
      <c r="BK170" s="16" t="s">
        <v>298</v>
      </c>
      <c r="BL170" s="16" t="s">
        <v>298</v>
      </c>
      <c r="BM170" s="16" t="s">
        <v>300</v>
      </c>
      <c r="BO170" s="16" t="s">
        <v>303</v>
      </c>
      <c r="BP170" s="161" t="s">
        <v>296</v>
      </c>
      <c r="BQ170" s="16" t="s">
        <v>292</v>
      </c>
      <c r="BS170" s="72" t="s">
        <v>292</v>
      </c>
    </row>
    <row r="171" spans="1:71" ht="17.25" x14ac:dyDescent="0.25">
      <c r="A171" s="5"/>
      <c r="B171" s="5"/>
      <c r="C171" t="s">
        <v>3</v>
      </c>
      <c r="D171" t="s">
        <v>4</v>
      </c>
      <c r="E171" t="s">
        <v>5</v>
      </c>
      <c r="F171" s="4" t="s">
        <v>6</v>
      </c>
      <c r="G171" s="6" t="s">
        <v>7</v>
      </c>
      <c r="H171" s="4" t="s">
        <v>98</v>
      </c>
      <c r="I171" s="4" t="s">
        <v>99</v>
      </c>
      <c r="J171" s="4" t="s">
        <v>74</v>
      </c>
      <c r="K171" s="7" t="s">
        <v>163</v>
      </c>
      <c r="L171" s="7" t="s">
        <v>8</v>
      </c>
      <c r="M171" s="4" t="s">
        <v>9</v>
      </c>
      <c r="N171" s="4" t="s">
        <v>10</v>
      </c>
      <c r="O171" s="4" t="s">
        <v>11</v>
      </c>
      <c r="P171" s="4" t="s">
        <v>82</v>
      </c>
      <c r="Q171" s="4"/>
      <c r="R171" s="77" t="s">
        <v>82</v>
      </c>
      <c r="S171" s="4"/>
      <c r="T171" s="10" t="s">
        <v>142</v>
      </c>
      <c r="U171" s="18" t="s">
        <v>10</v>
      </c>
      <c r="V171" s="13" t="s">
        <v>273</v>
      </c>
      <c r="W171" s="77" t="s">
        <v>311</v>
      </c>
      <c r="X171" s="4"/>
      <c r="Y171" s="10" t="s">
        <v>142</v>
      </c>
      <c r="Z171" s="18" t="s">
        <v>10</v>
      </c>
      <c r="AA171" s="76" t="s">
        <v>143</v>
      </c>
      <c r="AB171" s="13" t="s">
        <v>312</v>
      </c>
      <c r="AC171" s="72" t="s">
        <v>312</v>
      </c>
      <c r="AE171" s="9" t="s">
        <v>10</v>
      </c>
      <c r="AF171" s="76" t="s">
        <v>82</v>
      </c>
      <c r="AG171" s="13" t="s">
        <v>313</v>
      </c>
      <c r="AH171" s="77" t="s">
        <v>313</v>
      </c>
      <c r="AJ171" s="32" t="s">
        <v>10</v>
      </c>
      <c r="AK171" s="12" t="s">
        <v>149</v>
      </c>
      <c r="AL171" s="77" t="s">
        <v>149</v>
      </c>
      <c r="AN171" s="13" t="s">
        <v>230</v>
      </c>
      <c r="AO171" s="13" t="s">
        <v>177</v>
      </c>
      <c r="AP171" s="13" t="s">
        <v>234</v>
      </c>
      <c r="AR171" s="177" t="s">
        <v>321</v>
      </c>
      <c r="AS171" s="177" t="s">
        <v>232</v>
      </c>
      <c r="AT171" s="77" t="s">
        <v>319</v>
      </c>
      <c r="AV171" s="166" t="s">
        <v>149</v>
      </c>
      <c r="AW171" s="13" t="s">
        <v>276</v>
      </c>
      <c r="AX171" s="164" t="s">
        <v>186</v>
      </c>
      <c r="AY171" s="13" t="s">
        <v>82</v>
      </c>
      <c r="AZ171" s="13" t="s">
        <v>273</v>
      </c>
      <c r="BB171" s="77" t="s">
        <v>149</v>
      </c>
      <c r="BC171" s="177" t="s">
        <v>276</v>
      </c>
      <c r="BD171" s="77" t="s">
        <v>186</v>
      </c>
      <c r="BE171" s="77" t="s">
        <v>82</v>
      </c>
      <c r="BF171" s="77" t="s">
        <v>277</v>
      </c>
      <c r="BH171" s="13">
        <v>418</v>
      </c>
      <c r="BI171" s="77">
        <v>418</v>
      </c>
      <c r="BK171" s="13" t="s">
        <v>250</v>
      </c>
      <c r="BL171" s="13" t="s">
        <v>250</v>
      </c>
      <c r="BM171" s="13" t="s">
        <v>295</v>
      </c>
      <c r="BN171" s="18" t="s">
        <v>302</v>
      </c>
      <c r="BO171" s="13" t="s">
        <v>189</v>
      </c>
      <c r="BP171" s="76" t="s">
        <v>277</v>
      </c>
      <c r="BQ171" s="13" t="s">
        <v>305</v>
      </c>
      <c r="BS171" s="77" t="s">
        <v>305</v>
      </c>
    </row>
    <row r="172" spans="1:71" x14ac:dyDescent="0.25">
      <c r="A172">
        <v>1</v>
      </c>
      <c r="C172" s="9" t="s">
        <v>12</v>
      </c>
      <c r="D172" s="10" t="s">
        <v>13</v>
      </c>
      <c r="E172" s="32" t="s">
        <v>14</v>
      </c>
      <c r="F172" s="33">
        <v>44460</v>
      </c>
      <c r="G172" s="29">
        <v>0.95208333333333339</v>
      </c>
      <c r="H172" s="28">
        <v>-4</v>
      </c>
      <c r="I172" s="28">
        <v>92</v>
      </c>
      <c r="J172" s="28" t="s">
        <v>75</v>
      </c>
      <c r="K172" s="10">
        <v>32</v>
      </c>
      <c r="L172" s="47">
        <f>+((101325*(1-(2.25577*10^-5)*(K172))^5.25588))</f>
        <v>100941.16925190832</v>
      </c>
      <c r="M172" s="10">
        <f t="shared" ref="M172:M191" si="146">+L172/100000</f>
        <v>1.0094116925190832</v>
      </c>
      <c r="N172" s="10" t="s">
        <v>15</v>
      </c>
      <c r="O172" s="10">
        <f>_xll.HumidairTdbRHPsi(H172,I172,M172,N172)</f>
        <v>2.5000162499424039E-3</v>
      </c>
      <c r="P172" s="49">
        <f>+O172*1000</f>
        <v>2.5000162499424037</v>
      </c>
      <c r="Q172" s="31"/>
      <c r="R172" s="58">
        <v>2.5000162499424037</v>
      </c>
      <c r="S172" s="4"/>
      <c r="T172" s="10">
        <v>1</v>
      </c>
      <c r="U172" s="10" t="s">
        <v>144</v>
      </c>
      <c r="V172" s="78">
        <f>_xll.HumidairTdbRHPsi(H172, I172,M172,U172)</f>
        <v>-4.9793684653281503</v>
      </c>
      <c r="W172" s="79">
        <v>-4.9793684653281503</v>
      </c>
      <c r="X172" s="4"/>
      <c r="Y172" s="10">
        <v>1</v>
      </c>
      <c r="Z172" s="10" t="s">
        <v>145</v>
      </c>
      <c r="AA172" s="78">
        <f>_xll.HumidairTdbRHPsi(H172,I172,M172,Z172)</f>
        <v>2.2091778854086193</v>
      </c>
      <c r="AB172" s="78">
        <f>+AA172+37</f>
        <v>39.209177885408621</v>
      </c>
      <c r="AC172" s="80">
        <v>39.209177885408621</v>
      </c>
      <c r="AE172" s="10" t="s">
        <v>146</v>
      </c>
      <c r="AF172" s="78">
        <f>_xll.HumidairTdbRHPsi(H172,I172,M172,AE172)</f>
        <v>-4.0221201924151355</v>
      </c>
      <c r="AG172" s="78">
        <f>+AF172+37</f>
        <v>32.977879807584863</v>
      </c>
      <c r="AH172" s="79">
        <v>32.977879807584863</v>
      </c>
      <c r="AJ172" s="10" t="s">
        <v>150</v>
      </c>
      <c r="AK172" s="84">
        <f>_xll.HumidairTdbRHPsi(H172,I172,M172,AJ172)</f>
        <v>0.76491846775697192</v>
      </c>
      <c r="AL172" s="58">
        <v>0.76491846775697192</v>
      </c>
      <c r="AN172" s="49">
        <f t="shared" ref="AN172" si="147">+$AN$6*($AL$57/AL172)</f>
        <v>0.55535839972077228</v>
      </c>
      <c r="AO172" s="81">
        <f>+R172/AN172</f>
        <v>4.5016267894739377</v>
      </c>
      <c r="AP172" s="81">
        <f t="shared" ref="AP172:AP191" si="148">+AO172*(44.0059/18.015)</f>
        <v>10.996288555920684</v>
      </c>
      <c r="AR172" s="58">
        <v>0.55535839972077228</v>
      </c>
      <c r="AS172" s="80">
        <v>4.5016267894739377</v>
      </c>
      <c r="AT172" s="80">
        <v>10.996288555920684</v>
      </c>
      <c r="AU172" s="140"/>
      <c r="AV172" s="84">
        <f t="shared" ref="AV172:AV191" si="149">+$AN$57-AN172</f>
        <v>7.9641600279227731E-2</v>
      </c>
      <c r="AW172" s="165">
        <f t="shared" ref="AW172:AW191" si="150">+AV172/1000</f>
        <v>7.9641600279227725E-5</v>
      </c>
      <c r="AX172" s="10">
        <f t="shared" ref="AX172:AX191" si="151">37+H172</f>
        <v>33</v>
      </c>
      <c r="AY172" s="55">
        <f t="shared" ref="AY172:AY191" si="152">+AW172*AX172*$AX$9</f>
        <v>2.1892679500756908E-3</v>
      </c>
      <c r="AZ172" s="55">
        <f t="shared" ref="AZ172:AZ191" si="153">+AY172/1.703</f>
        <v>1.285536083426712E-3</v>
      </c>
      <c r="BB172" s="58">
        <v>7.9641600279227731E-2</v>
      </c>
      <c r="BC172" s="167">
        <v>7.9641600279227725E-5</v>
      </c>
      <c r="BD172" s="168">
        <v>33</v>
      </c>
      <c r="BE172" s="168">
        <v>2.1892679500756908E-3</v>
      </c>
      <c r="BF172" s="169">
        <v>1.285536083426712E-3</v>
      </c>
      <c r="BH172" s="81">
        <f>418*($AL$57/AL172)</f>
        <v>365.57450564296511</v>
      </c>
      <c r="BI172" s="80">
        <v>365.57450564296511</v>
      </c>
      <c r="BK172" s="81">
        <f>+AB172</f>
        <v>39.209177885408621</v>
      </c>
      <c r="BL172" s="81">
        <f>+AG172</f>
        <v>32.977879807584863</v>
      </c>
      <c r="BM172" s="81">
        <f>+BK172-BL172</f>
        <v>6.2312980778237588</v>
      </c>
      <c r="BN172" s="192">
        <f>+BM172/BK172</f>
        <v>0.15892447671397583</v>
      </c>
      <c r="BO172" s="81">
        <f>+H172-$H$57</f>
        <v>33</v>
      </c>
      <c r="BP172" s="49">
        <f>+BN172*BO172</f>
        <v>5.2445077315612023</v>
      </c>
      <c r="BQ172" s="82">
        <f>+BP172/AZ172</f>
        <v>4079.6270125545566</v>
      </c>
      <c r="BS172" s="193">
        <v>4079.6270125545566</v>
      </c>
    </row>
    <row r="173" spans="1:71" x14ac:dyDescent="0.25">
      <c r="A173">
        <v>2</v>
      </c>
      <c r="B173" s="1" t="s">
        <v>16</v>
      </c>
      <c r="C173" s="12" t="s">
        <v>17</v>
      </c>
      <c r="D173" s="13" t="s">
        <v>18</v>
      </c>
      <c r="E173" s="11" t="s">
        <v>19</v>
      </c>
      <c r="F173" s="33">
        <v>44461</v>
      </c>
      <c r="G173" s="29">
        <v>0.49305555555555558</v>
      </c>
      <c r="H173" s="28">
        <v>2</v>
      </c>
      <c r="I173" s="28">
        <v>79</v>
      </c>
      <c r="J173" s="28" t="s">
        <v>89</v>
      </c>
      <c r="K173" s="10">
        <v>41</v>
      </c>
      <c r="L173" s="47">
        <f t="shared" ref="L173:L181" si="154">+((101325*(1-(2.25577*10^-5)*(K173))^5.25588))</f>
        <v>100833.42925724134</v>
      </c>
      <c r="M173" s="10">
        <f t="shared" si="146"/>
        <v>1.0083342925724135</v>
      </c>
      <c r="N173" s="10" t="s">
        <v>15</v>
      </c>
      <c r="O173" s="10">
        <f>_xll.HumidairTdbRHPsi(H173,I173,M173,N173)</f>
        <v>3.4729037359769511E-3</v>
      </c>
      <c r="P173" s="49">
        <f t="shared" ref="P173:P181" si="155">+O173*1000</f>
        <v>3.472903735976951</v>
      </c>
      <c r="Q173" s="31"/>
      <c r="R173" s="58">
        <v>3.472903735976951</v>
      </c>
      <c r="S173" s="4"/>
      <c r="T173" s="10">
        <v>2</v>
      </c>
      <c r="U173" s="10" t="s">
        <v>144</v>
      </c>
      <c r="V173" s="78">
        <f>_xll.HumidairTdbRHPsi(H173, I173,M173,U173)</f>
        <v>-1.1080270365845877</v>
      </c>
      <c r="W173" s="79">
        <v>-1.1080270365845877</v>
      </c>
      <c r="X173" s="4"/>
      <c r="Y173" s="10">
        <v>2</v>
      </c>
      <c r="Z173" s="10" t="s">
        <v>145</v>
      </c>
      <c r="AA173" s="78">
        <f>_xll.HumidairTdbRHPsi(H173,I173,M173,Z173)</f>
        <v>10.707904006527233</v>
      </c>
      <c r="AB173" s="81">
        <f t="shared" ref="AB173:AB191" si="156">+AA173+37</f>
        <v>47.70790400652723</v>
      </c>
      <c r="AC173" s="80">
        <v>47.70790400652723</v>
      </c>
      <c r="AE173" s="10" t="s">
        <v>146</v>
      </c>
      <c r="AF173" s="78">
        <f>_xll.HumidairTdbRHPsi(H173,I173,M173,AE173)</f>
        <v>2.0130338181967868</v>
      </c>
      <c r="AG173" s="81">
        <f t="shared" ref="AG173:AG191" si="157">+AF173+37</f>
        <v>39.013033818196789</v>
      </c>
      <c r="AH173" s="80">
        <v>39.013033818196789</v>
      </c>
      <c r="AJ173" s="10" t="s">
        <v>150</v>
      </c>
      <c r="AK173" s="84">
        <f>_xll.HumidairTdbRHPsi(H173,I173,M173,AJ173)</f>
        <v>0.78286866188313498</v>
      </c>
      <c r="AL173" s="58">
        <v>0.78286866188313498</v>
      </c>
      <c r="AN173" s="49">
        <f t="shared" ref="AN173:AN191" si="158">+$AN$6*($AL$57/AL173)</f>
        <v>0.54262472986023158</v>
      </c>
      <c r="AO173" s="81">
        <f t="shared" ref="AO173:AO191" si="159">+R173/AN173</f>
        <v>6.400194360606263</v>
      </c>
      <c r="AP173" s="81">
        <f t="shared" si="148"/>
        <v>15.633989065412329</v>
      </c>
      <c r="AR173" s="58">
        <v>0.54262472986023158</v>
      </c>
      <c r="AS173" s="80">
        <v>6.400194360606263</v>
      </c>
      <c r="AT173" s="80">
        <v>15.633989065412329</v>
      </c>
      <c r="AU173" s="140"/>
      <c r="AV173" s="49">
        <f t="shared" si="149"/>
        <v>9.2375270139768428E-2</v>
      </c>
      <c r="AW173" s="162">
        <f t="shared" si="150"/>
        <v>9.2375270139768433E-5</v>
      </c>
      <c r="AX173" s="10">
        <f t="shared" si="151"/>
        <v>39</v>
      </c>
      <c r="AY173" s="55">
        <f t="shared" si="152"/>
        <v>3.0009954010306573E-3</v>
      </c>
      <c r="AZ173" s="55">
        <f t="shared" si="153"/>
        <v>1.7621816799945139E-3</v>
      </c>
      <c r="BB173" s="58">
        <v>9.2375270139768428E-2</v>
      </c>
      <c r="BC173" s="167">
        <v>9.2375270139768433E-5</v>
      </c>
      <c r="BD173" s="168">
        <v>39</v>
      </c>
      <c r="BE173" s="170">
        <v>3.0009954010306573E-3</v>
      </c>
      <c r="BF173" s="169">
        <v>1.7621816799945139E-3</v>
      </c>
      <c r="BH173" s="81">
        <f t="shared" ref="BH173:BH191" si="160">418*($AL$57/AL173)</f>
        <v>357.1923418607509</v>
      </c>
      <c r="BI173" s="80">
        <v>357.1923418607509</v>
      </c>
      <c r="BK173" s="81">
        <f t="shared" ref="BK173:BK190" si="161">+AB173</f>
        <v>47.70790400652723</v>
      </c>
      <c r="BL173" s="81">
        <f t="shared" ref="BL173:BL190" si="162">+AG173</f>
        <v>39.013033818196789</v>
      </c>
      <c r="BM173" s="81">
        <f t="shared" ref="BM173:BM190" si="163">+BK173-BL173</f>
        <v>8.6948701883304409</v>
      </c>
      <c r="BN173" s="192">
        <f t="shared" ref="BN173:BN190" si="164">+BM173/BK173</f>
        <v>0.18225219425151939</v>
      </c>
      <c r="BO173" s="81">
        <f t="shared" ref="BO173:BO190" si="165">+H173-$H$57</f>
        <v>39</v>
      </c>
      <c r="BP173" s="49">
        <f t="shared" ref="BP173:BP190" si="166">+BN173*BO173</f>
        <v>7.107835575809256</v>
      </c>
      <c r="BQ173" s="82">
        <f t="shared" ref="BQ173:BQ190" si="167">+BP173/AZ173</f>
        <v>4033.5429975820566</v>
      </c>
      <c r="BS173" s="193">
        <v>4033.5429975820566</v>
      </c>
    </row>
    <row r="174" spans="1:71" x14ac:dyDescent="0.25">
      <c r="A174">
        <v>3</v>
      </c>
      <c r="C174" s="12" t="s">
        <v>20</v>
      </c>
      <c r="D174" s="10" t="s">
        <v>21</v>
      </c>
      <c r="E174" s="11" t="s">
        <v>22</v>
      </c>
      <c r="F174" s="33">
        <v>44461</v>
      </c>
      <c r="G174" s="29">
        <v>0.19097222222222221</v>
      </c>
      <c r="H174" s="28">
        <v>3</v>
      </c>
      <c r="I174" s="28">
        <v>69</v>
      </c>
      <c r="J174" s="28" t="s">
        <v>75</v>
      </c>
      <c r="K174" s="10">
        <v>15</v>
      </c>
      <c r="L174" s="47">
        <f t="shared" si="154"/>
        <v>101144.93246061618</v>
      </c>
      <c r="M174" s="10">
        <f t="shared" si="146"/>
        <v>1.0114493246061618</v>
      </c>
      <c r="N174" s="10" t="s">
        <v>15</v>
      </c>
      <c r="O174" s="10">
        <f>_xll.HumidairTdbRHPsi(H174,I174,M174,N174)</f>
        <v>3.2458671034926389E-3</v>
      </c>
      <c r="P174" s="49">
        <f t="shared" si="155"/>
        <v>3.245867103492639</v>
      </c>
      <c r="Q174" s="31"/>
      <c r="R174" s="58">
        <v>3.245867103492639</v>
      </c>
      <c r="S174" s="4"/>
      <c r="T174" s="10">
        <v>3</v>
      </c>
      <c r="U174" s="10" t="s">
        <v>144</v>
      </c>
      <c r="V174" s="78">
        <f>_xll.HumidairTdbRHPsi(H174, I174,M174,U174)</f>
        <v>-1.8787836756166598</v>
      </c>
      <c r="W174" s="79">
        <v>-1.8787836756166598</v>
      </c>
      <c r="X174" s="4"/>
      <c r="Y174" s="10">
        <v>3</v>
      </c>
      <c r="Z174" s="10" t="s">
        <v>145</v>
      </c>
      <c r="AA174" s="78">
        <f>_xll.HumidairTdbRHPsi(H174,I174,M174,Z174)</f>
        <v>11.150646007501312</v>
      </c>
      <c r="AB174" s="81">
        <f t="shared" si="156"/>
        <v>48.150646007501308</v>
      </c>
      <c r="AC174" s="80">
        <v>48.150646007501308</v>
      </c>
      <c r="AE174" s="10" t="s">
        <v>146</v>
      </c>
      <c r="AF174" s="78">
        <f>_xll.HumidairTdbRHPsi(H174,I174,M174,AE174)</f>
        <v>3.01804962212965</v>
      </c>
      <c r="AG174" s="81">
        <f t="shared" si="157"/>
        <v>40.018049622129652</v>
      </c>
      <c r="AH174" s="80">
        <v>40.018049622129652</v>
      </c>
      <c r="AJ174" s="10" t="s">
        <v>150</v>
      </c>
      <c r="AK174" s="84">
        <f>_xll.HumidairTdbRHPsi(H174,I174,M174,AJ174)</f>
        <v>0.78330263300624492</v>
      </c>
      <c r="AL174" s="58">
        <v>0.78330263300624492</v>
      </c>
      <c r="AN174" s="49">
        <f t="shared" si="158"/>
        <v>0.54232410089063288</v>
      </c>
      <c r="AO174" s="81">
        <f t="shared" si="159"/>
        <v>5.9851057663897054</v>
      </c>
      <c r="AP174" s="81">
        <f t="shared" si="148"/>
        <v>14.620036960597762</v>
      </c>
      <c r="AR174" s="58">
        <v>0.54232410089063288</v>
      </c>
      <c r="AS174" s="80">
        <v>5.9851057663897054</v>
      </c>
      <c r="AT174" s="80">
        <v>14.620036960597762</v>
      </c>
      <c r="AU174" s="140"/>
      <c r="AV174" s="49">
        <f t="shared" si="149"/>
        <v>9.2675899109367132E-2</v>
      </c>
      <c r="AW174" s="162">
        <f t="shared" si="150"/>
        <v>9.2675899109367134E-5</v>
      </c>
      <c r="AX174" s="10">
        <f t="shared" si="151"/>
        <v>40</v>
      </c>
      <c r="AY174" s="55">
        <f t="shared" si="152"/>
        <v>3.0879609583241126E-3</v>
      </c>
      <c r="AZ174" s="55">
        <f t="shared" si="153"/>
        <v>1.8132477735314813E-3</v>
      </c>
      <c r="BB174" s="58">
        <v>9.2675899109367132E-2</v>
      </c>
      <c r="BC174" s="167">
        <v>9.2675899109367134E-5</v>
      </c>
      <c r="BD174" s="168">
        <v>40</v>
      </c>
      <c r="BE174" s="170">
        <v>3.0879609583241126E-3</v>
      </c>
      <c r="BF174" s="171">
        <v>1.8132477735314813E-3</v>
      </c>
      <c r="BH174" s="81">
        <f t="shared" si="160"/>
        <v>356.99444751540869</v>
      </c>
      <c r="BI174" s="80">
        <v>356.99444751540869</v>
      </c>
      <c r="BK174" s="81">
        <f t="shared" si="161"/>
        <v>48.150646007501308</v>
      </c>
      <c r="BL174" s="81">
        <f t="shared" si="162"/>
        <v>40.018049622129652</v>
      </c>
      <c r="BM174" s="81">
        <f t="shared" si="163"/>
        <v>8.1325963853716559</v>
      </c>
      <c r="BN174" s="192">
        <f t="shared" si="164"/>
        <v>0.16889900883374839</v>
      </c>
      <c r="BO174" s="81">
        <f t="shared" si="165"/>
        <v>40</v>
      </c>
      <c r="BP174" s="49">
        <f t="shared" si="166"/>
        <v>6.7559603533499359</v>
      </c>
      <c r="BQ174" s="82">
        <f t="shared" si="167"/>
        <v>3725.8892314490631</v>
      </c>
      <c r="BS174" s="193">
        <v>3725.8892314490631</v>
      </c>
    </row>
    <row r="175" spans="1:71" x14ac:dyDescent="0.25">
      <c r="A175" s="5">
        <v>4</v>
      </c>
      <c r="B175" s="14"/>
      <c r="C175" s="12" t="s">
        <v>23</v>
      </c>
      <c r="D175" s="10" t="s">
        <v>24</v>
      </c>
      <c r="E175" s="11" t="s">
        <v>25</v>
      </c>
      <c r="F175" s="33">
        <v>44460</v>
      </c>
      <c r="G175" s="29">
        <v>0.86736111111111114</v>
      </c>
      <c r="H175" s="28">
        <v>3</v>
      </c>
      <c r="I175" s="28">
        <v>69</v>
      </c>
      <c r="J175" s="28" t="s">
        <v>75</v>
      </c>
      <c r="K175" s="10">
        <v>26</v>
      </c>
      <c r="L175" s="47">
        <f t="shared" si="154"/>
        <v>101013.04768769341</v>
      </c>
      <c r="M175" s="10">
        <f t="shared" si="146"/>
        <v>1.0101304768769341</v>
      </c>
      <c r="N175" s="10" t="s">
        <v>15</v>
      </c>
      <c r="O175" s="10">
        <f>_xll.HumidairTdbRHPsi(H175,I175,M175,N175)</f>
        <v>3.2501127152137327E-3</v>
      </c>
      <c r="P175" s="49">
        <f t="shared" si="155"/>
        <v>3.2501127152137328</v>
      </c>
      <c r="Q175" s="31"/>
      <c r="R175" s="58">
        <v>3.2501127152137328</v>
      </c>
      <c r="S175" s="4"/>
      <c r="T175" s="10">
        <v>4</v>
      </c>
      <c r="U175" s="10" t="s">
        <v>144</v>
      </c>
      <c r="V175" s="78">
        <f>_xll.HumidairTdbRHPsi(H175, I175,M175,U175)</f>
        <v>-1.8787801659773322</v>
      </c>
      <c r="W175" s="79">
        <v>-1.8787801659773322</v>
      </c>
      <c r="X175" s="4"/>
      <c r="Y175" s="10">
        <v>4</v>
      </c>
      <c r="Z175" s="10" t="s">
        <v>145</v>
      </c>
      <c r="AA175" s="78">
        <f>_xll.HumidairTdbRHPsi(H175,I175,M175,Z175)</f>
        <v>11.161644847921705</v>
      </c>
      <c r="AB175" s="81">
        <f t="shared" si="156"/>
        <v>48.161644847921707</v>
      </c>
      <c r="AC175" s="80">
        <v>48.161644847921707</v>
      </c>
      <c r="AE175" s="10" t="s">
        <v>146</v>
      </c>
      <c r="AF175" s="78">
        <f>_xll.HumidairTdbRHPsi(H175,I175,M175,AE175)</f>
        <v>3.0184070674380408</v>
      </c>
      <c r="AG175" s="81">
        <f t="shared" si="157"/>
        <v>40.018407067438041</v>
      </c>
      <c r="AH175" s="80">
        <v>40.018407067438041</v>
      </c>
      <c r="AJ175" s="10" t="s">
        <v>150</v>
      </c>
      <c r="AK175" s="84">
        <f>_xll.HumidairTdbRHPsi(H175,I175,M175,AJ175)</f>
        <v>0.78432588462491781</v>
      </c>
      <c r="AL175" s="58">
        <v>0.78432588462491781</v>
      </c>
      <c r="AN175" s="49">
        <f t="shared" si="158"/>
        <v>0.54161657099144167</v>
      </c>
      <c r="AO175" s="81">
        <f t="shared" si="159"/>
        <v>6.0007630661379618</v>
      </c>
      <c r="AP175" s="81">
        <f t="shared" si="148"/>
        <v>14.658283619881237</v>
      </c>
      <c r="AR175" s="58">
        <v>0.54161657099144167</v>
      </c>
      <c r="AS175" s="80">
        <v>6.0007630661379618</v>
      </c>
      <c r="AT175" s="80">
        <v>14.658283619881237</v>
      </c>
      <c r="AU175" s="140"/>
      <c r="AV175" s="49">
        <f t="shared" si="149"/>
        <v>9.3383429008558339E-2</v>
      </c>
      <c r="AW175" s="162">
        <f t="shared" si="150"/>
        <v>9.3383429008558343E-5</v>
      </c>
      <c r="AX175" s="10">
        <f t="shared" si="151"/>
        <v>40</v>
      </c>
      <c r="AY175" s="55">
        <f t="shared" si="152"/>
        <v>3.1115358545651638E-3</v>
      </c>
      <c r="AZ175" s="55">
        <f t="shared" si="153"/>
        <v>1.8270909304551753E-3</v>
      </c>
      <c r="BB175" s="58">
        <v>9.3383429008558339E-2</v>
      </c>
      <c r="BC175" s="167">
        <v>9.3383429008558343E-5</v>
      </c>
      <c r="BD175" s="168">
        <v>40</v>
      </c>
      <c r="BE175" s="170">
        <v>3.1115358545651638E-3</v>
      </c>
      <c r="BF175" s="171">
        <v>1.8270909304551753E-3</v>
      </c>
      <c r="BH175" s="81">
        <f t="shared" si="160"/>
        <v>356.52870342428758</v>
      </c>
      <c r="BI175" s="80">
        <v>356.52870342428758</v>
      </c>
      <c r="BK175" s="81">
        <f t="shared" si="161"/>
        <v>48.161644847921707</v>
      </c>
      <c r="BL175" s="81">
        <f t="shared" si="162"/>
        <v>40.018407067438041</v>
      </c>
      <c r="BM175" s="81">
        <f t="shared" si="163"/>
        <v>8.1432377804836662</v>
      </c>
      <c r="BN175" s="192">
        <f t="shared" si="164"/>
        <v>0.16908138844089057</v>
      </c>
      <c r="BO175" s="81">
        <f t="shared" si="165"/>
        <v>40</v>
      </c>
      <c r="BP175" s="49">
        <f t="shared" si="166"/>
        <v>6.7632555376356231</v>
      </c>
      <c r="BQ175" s="82">
        <f t="shared" si="167"/>
        <v>3701.6524054173497</v>
      </c>
      <c r="BS175" s="193">
        <v>3701.6524054173497</v>
      </c>
    </row>
    <row r="176" spans="1:71" x14ac:dyDescent="0.25">
      <c r="A176">
        <v>5</v>
      </c>
      <c r="C176" s="9" t="s">
        <v>26</v>
      </c>
      <c r="D176" s="10" t="s">
        <v>27</v>
      </c>
      <c r="E176" s="11" t="s">
        <v>28</v>
      </c>
      <c r="F176" s="33">
        <v>44461</v>
      </c>
      <c r="G176" s="29">
        <v>0.44027777777777777</v>
      </c>
      <c r="H176" s="28">
        <v>15</v>
      </c>
      <c r="I176" s="28">
        <v>22</v>
      </c>
      <c r="J176" s="28" t="s">
        <v>85</v>
      </c>
      <c r="K176" s="10">
        <v>356</v>
      </c>
      <c r="L176" s="47">
        <f t="shared" si="154"/>
        <v>97120.766933102874</v>
      </c>
      <c r="M176" s="10">
        <f t="shared" si="146"/>
        <v>0.97120766933102876</v>
      </c>
      <c r="N176" s="10" t="s">
        <v>15</v>
      </c>
      <c r="O176" s="10">
        <f>_xll.HumidairTdbRHPsi(H176,I176,M176,N176)</f>
        <v>2.4215134404516683E-3</v>
      </c>
      <c r="P176" s="49">
        <f t="shared" si="155"/>
        <v>2.4215134404516685</v>
      </c>
      <c r="Q176" s="31"/>
      <c r="R176" s="58">
        <v>2.4215134404516685</v>
      </c>
      <c r="S176" s="4"/>
      <c r="T176" s="10">
        <v>5</v>
      </c>
      <c r="U176" s="10" t="s">
        <v>144</v>
      </c>
      <c r="V176" s="78">
        <f>_xll.HumidairTdbRHPsi(H176, I176,M176,U176)</f>
        <v>-5.7986085139749548</v>
      </c>
      <c r="W176" s="79">
        <v>-5.7986085139749548</v>
      </c>
      <c r="X176" s="4"/>
      <c r="Y176" s="10">
        <v>5</v>
      </c>
      <c r="Z176" s="10" t="s">
        <v>145</v>
      </c>
      <c r="AA176" s="78">
        <f>_xll.HumidairTdbRHPsi(H176,I176,M176,Z176)</f>
        <v>21.221795544505351</v>
      </c>
      <c r="AB176" s="81">
        <f t="shared" si="156"/>
        <v>58.221795544505355</v>
      </c>
      <c r="AC176" s="80">
        <v>58.221795544505355</v>
      </c>
      <c r="AE176" s="10" t="s">
        <v>146</v>
      </c>
      <c r="AF176" s="78">
        <f>_xll.HumidairTdbRHPsi(H176,I176,M176,AE176)</f>
        <v>15.099971689133604</v>
      </c>
      <c r="AG176" s="81">
        <f t="shared" si="157"/>
        <v>52.099971689133604</v>
      </c>
      <c r="AH176" s="80">
        <v>52.099971689133604</v>
      </c>
      <c r="AJ176" s="10" t="s">
        <v>150</v>
      </c>
      <c r="AK176" s="84">
        <f>_xll.HumidairTdbRHPsi(H176,I176,M176,AJ176)</f>
        <v>0.85133814833254329</v>
      </c>
      <c r="AL176" s="58">
        <v>0.85133814833254329</v>
      </c>
      <c r="AN176" s="49">
        <f t="shared" si="158"/>
        <v>0.49898374341900559</v>
      </c>
      <c r="AO176" s="81">
        <f t="shared" si="159"/>
        <v>4.8528904446056877</v>
      </c>
      <c r="AP176" s="81">
        <f t="shared" si="148"/>
        <v>11.854333145505045</v>
      </c>
      <c r="AR176" s="58">
        <v>0.49898374341900559</v>
      </c>
      <c r="AS176" s="80">
        <v>4.8528904446056877</v>
      </c>
      <c r="AT176" s="80">
        <v>11.854333145505045</v>
      </c>
      <c r="AU176" s="140"/>
      <c r="AV176" s="49">
        <f t="shared" si="149"/>
        <v>0.13601625658099442</v>
      </c>
      <c r="AW176" s="162">
        <f t="shared" si="150"/>
        <v>1.3601625658099441E-4</v>
      </c>
      <c r="AX176" s="10">
        <f t="shared" si="151"/>
        <v>52</v>
      </c>
      <c r="AY176" s="55">
        <f t="shared" si="152"/>
        <v>5.8916801700623538E-3</v>
      </c>
      <c r="AZ176" s="55">
        <f t="shared" si="153"/>
        <v>3.4595890605181173E-3</v>
      </c>
      <c r="BB176" s="58">
        <v>0.13601625658099442</v>
      </c>
      <c r="BC176" s="167">
        <v>1.3601625658099441E-4</v>
      </c>
      <c r="BD176" s="168">
        <v>52</v>
      </c>
      <c r="BE176" s="170">
        <v>5.8916801700623538E-3</v>
      </c>
      <c r="BF176" s="171">
        <v>3.4595890605181173E-3</v>
      </c>
      <c r="BH176" s="81">
        <f t="shared" si="160"/>
        <v>328.46488936873124</v>
      </c>
      <c r="BI176" s="80">
        <v>328.46488936873124</v>
      </c>
      <c r="BK176" s="81">
        <f t="shared" si="161"/>
        <v>58.221795544505355</v>
      </c>
      <c r="BL176" s="81">
        <f t="shared" si="162"/>
        <v>52.099971689133604</v>
      </c>
      <c r="BM176" s="81">
        <f t="shared" si="163"/>
        <v>6.1218238553717512</v>
      </c>
      <c r="BN176" s="192">
        <f t="shared" si="164"/>
        <v>0.10514660013692234</v>
      </c>
      <c r="BO176" s="81">
        <f t="shared" si="165"/>
        <v>52</v>
      </c>
      <c r="BP176" s="49">
        <f t="shared" si="166"/>
        <v>5.4676232071199617</v>
      </c>
      <c r="BQ176" s="82">
        <f t="shared" si="167"/>
        <v>1580.4256261294558</v>
      </c>
      <c r="BS176" s="193">
        <v>1580.4256261294558</v>
      </c>
    </row>
    <row r="177" spans="1:71" x14ac:dyDescent="0.25">
      <c r="A177">
        <v>6</v>
      </c>
      <c r="C177" s="9" t="s">
        <v>29</v>
      </c>
      <c r="D177" s="10" t="s">
        <v>30</v>
      </c>
      <c r="E177" s="11" t="s">
        <v>31</v>
      </c>
      <c r="F177" s="33">
        <v>44460</v>
      </c>
      <c r="G177" s="34">
        <v>0.81736111111111109</v>
      </c>
      <c r="H177" s="28">
        <v>24</v>
      </c>
      <c r="I177" s="28">
        <v>37</v>
      </c>
      <c r="J177" s="28" t="s">
        <v>87</v>
      </c>
      <c r="K177" s="10">
        <v>2</v>
      </c>
      <c r="L177" s="47">
        <f t="shared" si="154"/>
        <v>101300.97600813</v>
      </c>
      <c r="M177" s="10">
        <f t="shared" si="146"/>
        <v>1.0130097600812999</v>
      </c>
      <c r="N177" s="10" t="s">
        <v>15</v>
      </c>
      <c r="O177" s="10">
        <f>_xll.HumidairTdbRHPsi(H177,I177,M177,N177)</f>
        <v>6.8851896949410933E-3</v>
      </c>
      <c r="P177" s="49">
        <f t="shared" si="155"/>
        <v>6.8851896949410936</v>
      </c>
      <c r="Q177" s="31"/>
      <c r="R177" s="58">
        <v>6.8851896949410936</v>
      </c>
      <c r="S177" s="4"/>
      <c r="T177" s="10">
        <v>6</v>
      </c>
      <c r="U177" s="10" t="s">
        <v>144</v>
      </c>
      <c r="V177" s="78">
        <f>_xll.HumidairTdbRHPsi(H177, I177,M177,U177)</f>
        <v>8.4313799612809817</v>
      </c>
      <c r="W177" s="79">
        <v>8.4313799612809817</v>
      </c>
      <c r="X177" s="4"/>
      <c r="Y177" s="10">
        <v>6</v>
      </c>
      <c r="Z177" s="10" t="s">
        <v>145</v>
      </c>
      <c r="AA177" s="78">
        <f>_xll.HumidairTdbRHPsi(H177,I177,M177,Z177)</f>
        <v>41.666125106747344</v>
      </c>
      <c r="AB177" s="81">
        <f t="shared" si="156"/>
        <v>78.666125106747344</v>
      </c>
      <c r="AC177" s="80">
        <v>78.666125106747344</v>
      </c>
      <c r="AE177" s="10" t="s">
        <v>146</v>
      </c>
      <c r="AF177" s="78">
        <f>_xll.HumidairTdbRHPsi(H177,I177,M177,AE177)</f>
        <v>24.146000024084163</v>
      </c>
      <c r="AG177" s="81">
        <f t="shared" si="157"/>
        <v>61.146000024084159</v>
      </c>
      <c r="AH177" s="80">
        <v>61.146000024084159</v>
      </c>
      <c r="AJ177" s="10" t="s">
        <v>150</v>
      </c>
      <c r="AK177" s="84">
        <f>_xll.HumidairTdbRHPsi(H177,I177,M177,AJ177)</f>
        <v>0.84176157634884208</v>
      </c>
      <c r="AL177" s="58">
        <v>0.84176157634884208</v>
      </c>
      <c r="AN177" s="49">
        <f t="shared" si="158"/>
        <v>0.50466059286404186</v>
      </c>
      <c r="AO177" s="81">
        <f t="shared" si="159"/>
        <v>13.643208509438736</v>
      </c>
      <c r="AP177" s="81">
        <f t="shared" si="148"/>
        <v>33.326764881793501</v>
      </c>
      <c r="AR177" s="58">
        <v>0.50466059286404186</v>
      </c>
      <c r="AS177" s="80">
        <v>13.643208509438736</v>
      </c>
      <c r="AT177" s="80">
        <v>33.326764881793501</v>
      </c>
      <c r="AU177" s="140"/>
      <c r="AV177" s="49">
        <f t="shared" si="149"/>
        <v>0.13033940713595815</v>
      </c>
      <c r="AW177" s="162">
        <f t="shared" si="150"/>
        <v>1.3033940713595815E-4</v>
      </c>
      <c r="AX177" s="10">
        <f t="shared" si="151"/>
        <v>61</v>
      </c>
      <c r="AY177" s="55">
        <f t="shared" si="152"/>
        <v>6.6229362947994412E-3</v>
      </c>
      <c r="AZ177" s="55">
        <f t="shared" si="153"/>
        <v>3.8889819699350799E-3</v>
      </c>
      <c r="BB177" s="58">
        <v>0.13033940713595815</v>
      </c>
      <c r="BC177" s="167">
        <v>1.3033940713595815E-4</v>
      </c>
      <c r="BD177" s="168">
        <v>61</v>
      </c>
      <c r="BE177" s="170">
        <v>6.6229362947994412E-3</v>
      </c>
      <c r="BF177" s="171">
        <v>3.8889819699350799E-3</v>
      </c>
      <c r="BH177" s="81">
        <f t="shared" si="160"/>
        <v>332.20177609003076</v>
      </c>
      <c r="BI177" s="80">
        <v>332.20177609003076</v>
      </c>
      <c r="BK177" s="81">
        <f t="shared" si="161"/>
        <v>78.666125106747344</v>
      </c>
      <c r="BL177" s="81">
        <f t="shared" si="162"/>
        <v>61.146000024084159</v>
      </c>
      <c r="BM177" s="81">
        <f t="shared" si="163"/>
        <v>17.520125082663185</v>
      </c>
      <c r="BN177" s="192">
        <f t="shared" si="164"/>
        <v>0.222714987663228</v>
      </c>
      <c r="BO177" s="81">
        <f t="shared" si="165"/>
        <v>61</v>
      </c>
      <c r="BP177" s="49">
        <f t="shared" si="166"/>
        <v>13.585614247456908</v>
      </c>
      <c r="BQ177" s="82">
        <f t="shared" si="167"/>
        <v>3493.3600496182544</v>
      </c>
      <c r="BS177" s="193">
        <v>3493.3600496182544</v>
      </c>
    </row>
    <row r="178" spans="1:71" x14ac:dyDescent="0.25">
      <c r="A178">
        <v>7</v>
      </c>
      <c r="B178" s="1" t="s">
        <v>32</v>
      </c>
      <c r="C178" s="9" t="s">
        <v>33</v>
      </c>
      <c r="D178" s="10" t="s">
        <v>34</v>
      </c>
      <c r="E178" s="11" t="s">
        <v>35</v>
      </c>
      <c r="F178" s="33">
        <v>44461</v>
      </c>
      <c r="G178" s="29">
        <v>4</v>
      </c>
      <c r="H178" s="28">
        <v>14</v>
      </c>
      <c r="I178" s="28">
        <v>90</v>
      </c>
      <c r="J178" s="28" t="s">
        <v>124</v>
      </c>
      <c r="K178" s="10">
        <v>126</v>
      </c>
      <c r="L178" s="47">
        <f t="shared" si="154"/>
        <v>99820.46987859541</v>
      </c>
      <c r="M178" s="10">
        <f t="shared" si="146"/>
        <v>0.99820469878595408</v>
      </c>
      <c r="N178" s="10" t="s">
        <v>15</v>
      </c>
      <c r="O178" s="10">
        <f>_xll.HumidairTdbRHPsi(H178,I178,M178,N178)</f>
        <v>9.1325556573802653E-3</v>
      </c>
      <c r="P178" s="49">
        <f t="shared" si="155"/>
        <v>9.1325556573802658</v>
      </c>
      <c r="Q178" s="31"/>
      <c r="R178" s="58">
        <v>9.1325556573802658</v>
      </c>
      <c r="S178" s="4"/>
      <c r="T178" s="10">
        <v>7</v>
      </c>
      <c r="U178" s="10" t="s">
        <v>144</v>
      </c>
      <c r="V178" s="78">
        <f>_xll.HumidairTdbRHPsi(H178, I178,M178,U178)</f>
        <v>12.387401883254086</v>
      </c>
      <c r="W178" s="79">
        <v>12.387401883254086</v>
      </c>
      <c r="X178" s="4"/>
      <c r="Y178" s="10">
        <v>7</v>
      </c>
      <c r="Z178" s="10" t="s">
        <v>145</v>
      </c>
      <c r="AA178" s="78">
        <f>_xll.HumidairTdbRHPsi(H178,I178,M178,Z178)</f>
        <v>37.153081654730741</v>
      </c>
      <c r="AB178" s="81">
        <f t="shared" si="156"/>
        <v>74.153081654730741</v>
      </c>
      <c r="AC178" s="80">
        <v>74.153081654730741</v>
      </c>
      <c r="AE178" s="10" t="s">
        <v>146</v>
      </c>
      <c r="AF178" s="78">
        <f>_xll.HumidairTdbRHPsi(H178,I178,M178,AE178)</f>
        <v>14.087178935387083</v>
      </c>
      <c r="AG178" s="81">
        <f t="shared" si="157"/>
        <v>51.087178935387087</v>
      </c>
      <c r="AH178" s="80">
        <v>51.087178935387087</v>
      </c>
      <c r="AJ178" s="10" t="s">
        <v>150</v>
      </c>
      <c r="AK178" s="84">
        <f>_xll.HumidairTdbRHPsi(H178,I178,M178,AJ178)</f>
        <v>0.82542105709077629</v>
      </c>
      <c r="AL178" s="58">
        <v>0.82542105709077629</v>
      </c>
      <c r="AN178" s="49">
        <f t="shared" si="158"/>
        <v>0.51465114988417238</v>
      </c>
      <c r="AO178" s="81">
        <f t="shared" si="159"/>
        <v>17.745137962745527</v>
      </c>
      <c r="AP178" s="81">
        <f t="shared" si="148"/>
        <v>43.346698122385973</v>
      </c>
      <c r="AR178" s="58">
        <v>0.51465114988417238</v>
      </c>
      <c r="AS178" s="80">
        <v>17.745137962745527</v>
      </c>
      <c r="AT178" s="80">
        <v>43.346698122385973</v>
      </c>
      <c r="AU178" s="140"/>
      <c r="AV178" s="49">
        <f t="shared" si="149"/>
        <v>0.12034885011582763</v>
      </c>
      <c r="AW178" s="162">
        <f t="shared" si="150"/>
        <v>1.2034885011582763E-4</v>
      </c>
      <c r="AX178" s="10">
        <f t="shared" si="151"/>
        <v>51</v>
      </c>
      <c r="AY178" s="55">
        <f t="shared" si="152"/>
        <v>5.1127801994707046E-3</v>
      </c>
      <c r="AZ178" s="55">
        <f t="shared" si="153"/>
        <v>3.0022197295776305E-3</v>
      </c>
      <c r="BB178" s="58">
        <v>0.12034885011582763</v>
      </c>
      <c r="BC178" s="167">
        <v>1.2034885011582763E-4</v>
      </c>
      <c r="BD178" s="168">
        <v>51</v>
      </c>
      <c r="BE178" s="170">
        <v>5.1127801994707046E-3</v>
      </c>
      <c r="BF178" s="171">
        <v>3.0022197295776305E-3</v>
      </c>
      <c r="BH178" s="81">
        <f t="shared" si="160"/>
        <v>338.77823724658907</v>
      </c>
      <c r="BI178" s="80">
        <v>338.77823724658907</v>
      </c>
      <c r="BK178" s="81">
        <f t="shared" si="161"/>
        <v>74.153081654730741</v>
      </c>
      <c r="BL178" s="81">
        <f t="shared" si="162"/>
        <v>51.087178935387087</v>
      </c>
      <c r="BM178" s="81">
        <f t="shared" si="163"/>
        <v>23.065902719343654</v>
      </c>
      <c r="BN178" s="192">
        <f t="shared" si="164"/>
        <v>0.31105791161508822</v>
      </c>
      <c r="BO178" s="81">
        <f t="shared" si="165"/>
        <v>51</v>
      </c>
      <c r="BP178" s="49">
        <f t="shared" si="166"/>
        <v>15.8639534923695</v>
      </c>
      <c r="BQ178" s="82">
        <f t="shared" si="167"/>
        <v>5284.0747584459223</v>
      </c>
      <c r="BS178" s="193">
        <v>5284.0747584459223</v>
      </c>
    </row>
    <row r="179" spans="1:71" x14ac:dyDescent="0.25">
      <c r="A179">
        <v>8</v>
      </c>
      <c r="C179" s="9" t="s">
        <v>36</v>
      </c>
      <c r="D179" s="10" t="s">
        <v>37</v>
      </c>
      <c r="E179" s="11" t="s">
        <v>38</v>
      </c>
      <c r="F179" s="33">
        <v>44461</v>
      </c>
      <c r="G179" s="29">
        <v>0.44930555555555557</v>
      </c>
      <c r="H179" s="28">
        <v>17</v>
      </c>
      <c r="I179" s="28">
        <v>83</v>
      </c>
      <c r="J179" s="28" t="s">
        <v>110</v>
      </c>
      <c r="K179" s="10">
        <v>143</v>
      </c>
      <c r="L179" s="47">
        <f t="shared" si="154"/>
        <v>99618.87034335341</v>
      </c>
      <c r="M179" s="10">
        <f t="shared" si="146"/>
        <v>0.99618870343353405</v>
      </c>
      <c r="N179" s="10" t="s">
        <v>15</v>
      </c>
      <c r="O179" s="10">
        <f>_xll.HumidairTdbRHPsi(H179,I179,M179,N179)</f>
        <v>1.0248803890416054E-2</v>
      </c>
      <c r="P179" s="49">
        <f t="shared" si="155"/>
        <v>10.248803890416054</v>
      </c>
      <c r="Q179" s="31"/>
      <c r="R179" s="58">
        <v>10.248803890416054</v>
      </c>
      <c r="S179" s="4"/>
      <c r="T179" s="10">
        <v>8</v>
      </c>
      <c r="U179" s="10" t="s">
        <v>144</v>
      </c>
      <c r="V179" s="78">
        <f>_xll.HumidairTdbRHPsi(H179, I179,M179,U179)</f>
        <v>14.095106687097541</v>
      </c>
      <c r="W179" s="79">
        <v>14.095106687097541</v>
      </c>
      <c r="X179" s="4"/>
      <c r="Y179" s="10">
        <v>8</v>
      </c>
      <c r="Z179" s="10" t="s">
        <v>145</v>
      </c>
      <c r="AA179" s="78">
        <f>_xll.HumidairTdbRHPsi(H179,I179,M179,Z179)</f>
        <v>43.048292284953142</v>
      </c>
      <c r="AB179" s="81">
        <f t="shared" si="156"/>
        <v>80.048292284953135</v>
      </c>
      <c r="AC179" s="80">
        <v>80.048292284953135</v>
      </c>
      <c r="AE179" s="10" t="s">
        <v>146</v>
      </c>
      <c r="AF179" s="78">
        <f>_xll.HumidairTdbRHPsi(H179,I179,M179,AE179)</f>
        <v>17.106043016232018</v>
      </c>
      <c r="AG179" s="81">
        <f t="shared" si="157"/>
        <v>54.106043016232022</v>
      </c>
      <c r="AH179" s="80">
        <v>54.106043016232022</v>
      </c>
      <c r="AJ179" s="10" t="s">
        <v>150</v>
      </c>
      <c r="AK179" s="84">
        <f>_xll.HumidairTdbRHPsi(H179,I179,M179,AJ179)</f>
        <v>0.83575901674187736</v>
      </c>
      <c r="AL179" s="58">
        <v>0.83575901674187736</v>
      </c>
      <c r="AN179" s="49">
        <f t="shared" si="158"/>
        <v>0.50828514878180131</v>
      </c>
      <c r="AO179" s="81">
        <f t="shared" si="159"/>
        <v>20.16349270675957</v>
      </c>
      <c r="AP179" s="81">
        <f t="shared" si="148"/>
        <v>49.254101787643123</v>
      </c>
      <c r="AR179" s="58">
        <v>0.50828514878180131</v>
      </c>
      <c r="AS179" s="80">
        <v>20.16349270675957</v>
      </c>
      <c r="AT179" s="80">
        <v>49.254101787643123</v>
      </c>
      <c r="AU179" s="140"/>
      <c r="AV179" s="49">
        <f t="shared" si="149"/>
        <v>0.1267148512181987</v>
      </c>
      <c r="AW179" s="162">
        <f t="shared" si="150"/>
        <v>1.267148512181987E-4</v>
      </c>
      <c r="AX179" s="10">
        <f t="shared" si="151"/>
        <v>54</v>
      </c>
      <c r="AY179" s="55">
        <f t="shared" si="152"/>
        <v>5.6998874374970141E-3</v>
      </c>
      <c r="AZ179" s="55">
        <f t="shared" si="153"/>
        <v>3.3469685481485696E-3</v>
      </c>
      <c r="BB179" s="58">
        <v>0.1267148512181987</v>
      </c>
      <c r="BC179" s="167">
        <v>1.267148512181987E-4</v>
      </c>
      <c r="BD179" s="168">
        <v>54</v>
      </c>
      <c r="BE179" s="170">
        <v>5.6998874374970141E-3</v>
      </c>
      <c r="BF179" s="171">
        <v>3.3469685481485696E-3</v>
      </c>
      <c r="BH179" s="81">
        <f t="shared" si="160"/>
        <v>334.58770423746927</v>
      </c>
      <c r="BI179" s="80">
        <v>334.58770423746927</v>
      </c>
      <c r="BK179" s="81">
        <f t="shared" si="161"/>
        <v>80.048292284953135</v>
      </c>
      <c r="BL179" s="81">
        <f t="shared" si="162"/>
        <v>54.106043016232022</v>
      </c>
      <c r="BM179" s="81">
        <f t="shared" si="163"/>
        <v>25.942249268721113</v>
      </c>
      <c r="BN179" s="192">
        <f t="shared" si="164"/>
        <v>0.32408248231421094</v>
      </c>
      <c r="BO179" s="81">
        <f t="shared" si="165"/>
        <v>54</v>
      </c>
      <c r="BP179" s="49">
        <f t="shared" si="166"/>
        <v>17.500454044967391</v>
      </c>
      <c r="BQ179" s="82">
        <f t="shared" si="167"/>
        <v>5228.7476841239077</v>
      </c>
      <c r="BS179" s="193">
        <v>5228.7476841239077</v>
      </c>
    </row>
    <row r="180" spans="1:71" x14ac:dyDescent="0.25">
      <c r="A180">
        <v>9</v>
      </c>
      <c r="C180" s="68" t="s">
        <v>39</v>
      </c>
      <c r="D180" s="10" t="s">
        <v>40</v>
      </c>
      <c r="E180" s="11" t="s">
        <v>41</v>
      </c>
      <c r="F180" s="33">
        <v>44460</v>
      </c>
      <c r="G180" s="29">
        <v>0.70000000000000007</v>
      </c>
      <c r="H180" s="28">
        <v>19</v>
      </c>
      <c r="I180" s="28">
        <v>65</v>
      </c>
      <c r="J180" s="28" t="s">
        <v>102</v>
      </c>
      <c r="K180" s="10">
        <v>62</v>
      </c>
      <c r="L180" s="47">
        <f t="shared" si="154"/>
        <v>100582.39802554256</v>
      </c>
      <c r="M180" s="10">
        <f t="shared" si="146"/>
        <v>1.0058239802554256</v>
      </c>
      <c r="N180" s="10" t="s">
        <v>15</v>
      </c>
      <c r="O180" s="10">
        <f>_xll.HumidairTdbRHPsi(H180,I180,M180,N180)</f>
        <v>8.9979010421531447E-3</v>
      </c>
      <c r="P180" s="49">
        <f t="shared" si="155"/>
        <v>8.9979010421531456</v>
      </c>
      <c r="Q180" s="31"/>
      <c r="R180" s="58">
        <v>8.9979010421531456</v>
      </c>
      <c r="S180" s="4"/>
      <c r="T180" s="10">
        <v>9</v>
      </c>
      <c r="U180" s="10" t="s">
        <v>144</v>
      </c>
      <c r="V180" s="78">
        <f>_xll.HumidairTdbRHPsi(H180, I180,M180,U180)</f>
        <v>12.280065218639606</v>
      </c>
      <c r="W180" s="79">
        <v>12.280065218639606</v>
      </c>
      <c r="X180" s="4"/>
      <c r="Y180" s="10">
        <v>9</v>
      </c>
      <c r="Z180" s="10" t="s">
        <v>145</v>
      </c>
      <c r="AA180" s="78">
        <f>_xll.HumidairTdbRHPsi(H180,I180,M180,Z180)</f>
        <v>41.926536021145978</v>
      </c>
      <c r="AB180" s="81">
        <f t="shared" si="156"/>
        <v>78.926536021145978</v>
      </c>
      <c r="AC180" s="80">
        <v>78.926536021145978</v>
      </c>
      <c r="AE180" s="10" t="s">
        <v>146</v>
      </c>
      <c r="AF180" s="78">
        <f>_xll.HumidairTdbRHPsi(H180,I180,M180,AE180)</f>
        <v>19.116102095736043</v>
      </c>
      <c r="AG180" s="81">
        <f t="shared" si="157"/>
        <v>56.116102095736039</v>
      </c>
      <c r="AH180" s="80">
        <v>56.116102095736039</v>
      </c>
      <c r="AJ180" s="10" t="s">
        <v>150</v>
      </c>
      <c r="AK180" s="84">
        <f>_xll.HumidairTdbRHPsi(H180,I180,M180,AJ180)</f>
        <v>0.83347223603470044</v>
      </c>
      <c r="AL180" s="58">
        <v>0.83347223603470044</v>
      </c>
      <c r="AN180" s="49">
        <f t="shared" si="158"/>
        <v>0.50967972033646836</v>
      </c>
      <c r="AO180" s="81">
        <f t="shared" si="159"/>
        <v>17.654029939062756</v>
      </c>
      <c r="AP180" s="81">
        <f t="shared" si="148"/>
        <v>43.124145217618739</v>
      </c>
      <c r="AR180" s="58">
        <v>0.50967972033646836</v>
      </c>
      <c r="AS180" s="80">
        <v>17.654029939062756</v>
      </c>
      <c r="AT180" s="80">
        <v>43.124145217618739</v>
      </c>
      <c r="AU180" s="140"/>
      <c r="AV180" s="49">
        <f t="shared" si="149"/>
        <v>0.12532027966353165</v>
      </c>
      <c r="AW180" s="162">
        <f t="shared" si="150"/>
        <v>1.2532027966353164E-4</v>
      </c>
      <c r="AX180" s="10">
        <f t="shared" si="151"/>
        <v>56</v>
      </c>
      <c r="AY180" s="55">
        <f t="shared" si="152"/>
        <v>5.8459404057444242E-3</v>
      </c>
      <c r="AZ180" s="55">
        <f t="shared" si="153"/>
        <v>3.4327307138839833E-3</v>
      </c>
      <c r="BB180" s="58">
        <v>0.12532027966353165</v>
      </c>
      <c r="BC180" s="167">
        <v>1.2532027966353164E-4</v>
      </c>
      <c r="BD180" s="168">
        <v>56</v>
      </c>
      <c r="BE180" s="170">
        <v>5.8459404057444242E-3</v>
      </c>
      <c r="BF180" s="171">
        <v>3.4327307138839833E-3</v>
      </c>
      <c r="BH180" s="81">
        <f t="shared" si="160"/>
        <v>335.50570567030519</v>
      </c>
      <c r="BI180" s="80">
        <v>335.50570567030519</v>
      </c>
      <c r="BK180" s="81">
        <f t="shared" si="161"/>
        <v>78.926536021145978</v>
      </c>
      <c r="BL180" s="81">
        <f t="shared" si="162"/>
        <v>56.116102095736039</v>
      </c>
      <c r="BM180" s="81">
        <f t="shared" si="163"/>
        <v>22.810433925409939</v>
      </c>
      <c r="BN180" s="192">
        <f t="shared" si="164"/>
        <v>0.2890084257504798</v>
      </c>
      <c r="BO180" s="81">
        <f t="shared" si="165"/>
        <v>56</v>
      </c>
      <c r="BP180" s="49">
        <f t="shared" si="166"/>
        <v>16.18447184202687</v>
      </c>
      <c r="BQ180" s="82">
        <f t="shared" si="167"/>
        <v>4714.7513717191214</v>
      </c>
      <c r="BS180" s="193">
        <v>4714.7513717191214</v>
      </c>
    </row>
    <row r="181" spans="1:71" x14ac:dyDescent="0.25">
      <c r="A181" s="5">
        <v>10</v>
      </c>
      <c r="B181" s="14"/>
      <c r="C181" s="12" t="s">
        <v>42</v>
      </c>
      <c r="D181" s="13" t="s">
        <v>43</v>
      </c>
      <c r="E181" s="8" t="s">
        <v>44</v>
      </c>
      <c r="F181" s="33">
        <v>44460</v>
      </c>
      <c r="G181" s="29">
        <v>0.40138888888888885</v>
      </c>
      <c r="H181" s="28">
        <v>13</v>
      </c>
      <c r="I181" s="28">
        <v>71</v>
      </c>
      <c r="J181" s="28" t="s">
        <v>88</v>
      </c>
      <c r="K181" s="10">
        <v>255</v>
      </c>
      <c r="L181" s="47">
        <f t="shared" si="154"/>
        <v>98298.910193542106</v>
      </c>
      <c r="M181" s="10">
        <f t="shared" si="146"/>
        <v>0.98298910193542111</v>
      </c>
      <c r="N181" s="10" t="s">
        <v>15</v>
      </c>
      <c r="O181" s="10">
        <f>_xll.HumidairTdbRHPsi(H181,I181,M181,N181)</f>
        <v>6.8291090433759425E-3</v>
      </c>
      <c r="P181" s="49">
        <f t="shared" si="155"/>
        <v>6.8291090433759427</v>
      </c>
      <c r="Q181" s="31"/>
      <c r="R181" s="58">
        <v>6.8291090433759427</v>
      </c>
      <c r="S181" s="4"/>
      <c r="T181" s="10">
        <v>10</v>
      </c>
      <c r="U181" s="10" t="s">
        <v>144</v>
      </c>
      <c r="V181" s="78">
        <f>_xll.HumidairTdbRHPsi(H181, I181,M181,U181)</f>
        <v>7.8714346897256746</v>
      </c>
      <c r="W181" s="79">
        <v>7.8714346897256746</v>
      </c>
      <c r="X181" s="4"/>
      <c r="Y181" s="10">
        <v>10</v>
      </c>
      <c r="Z181" s="10" t="s">
        <v>145</v>
      </c>
      <c r="AA181" s="78">
        <f>_xll.HumidairTdbRHPsi(H181,I181,M181,Z181)</f>
        <v>30.321606408395585</v>
      </c>
      <c r="AB181" s="81">
        <f t="shared" si="156"/>
        <v>67.321606408395581</v>
      </c>
      <c r="AC181" s="80">
        <v>67.321606408395581</v>
      </c>
      <c r="AE181" s="10" t="s">
        <v>146</v>
      </c>
      <c r="AF181" s="78">
        <f>_xll.HumidairTdbRHPsi(H181,I181,M181,AE181)</f>
        <v>13.084937340206789</v>
      </c>
      <c r="AG181" s="81">
        <f t="shared" si="157"/>
        <v>50.084937340206793</v>
      </c>
      <c r="AH181" s="80">
        <v>50.084937340206793</v>
      </c>
      <c r="AJ181" s="10" t="s">
        <v>150</v>
      </c>
      <c r="AK181" s="84">
        <f>_xll.HumidairTdbRHPsi(H181,I181,M181,AJ181)</f>
        <v>0.83527513913550488</v>
      </c>
      <c r="AL181" s="58">
        <v>0.83527513913550488</v>
      </c>
      <c r="AN181" s="49">
        <f t="shared" si="158"/>
        <v>0.50857960002262448</v>
      </c>
      <c r="AO181" s="81">
        <f t="shared" si="159"/>
        <v>13.427807649131317</v>
      </c>
      <c r="AP181" s="81">
        <f t="shared" si="148"/>
        <v>32.800597314843614</v>
      </c>
      <c r="AR181" s="58">
        <v>0.50857960002262448</v>
      </c>
      <c r="AS181" s="80">
        <v>13.427807649131317</v>
      </c>
      <c r="AT181" s="80">
        <v>32.800597314843614</v>
      </c>
      <c r="AU181" s="140"/>
      <c r="AV181" s="49">
        <f t="shared" si="149"/>
        <v>0.12642039997737553</v>
      </c>
      <c r="AW181" s="162">
        <f t="shared" si="150"/>
        <v>1.2642039997737552E-4</v>
      </c>
      <c r="AX181" s="10">
        <f t="shared" si="151"/>
        <v>50</v>
      </c>
      <c r="AY181" s="55">
        <f t="shared" si="152"/>
        <v>5.2654096590576899E-3</v>
      </c>
      <c r="AZ181" s="55">
        <f t="shared" si="153"/>
        <v>3.0918436048489074E-3</v>
      </c>
      <c r="BB181" s="58">
        <v>0.12642039997737553</v>
      </c>
      <c r="BC181" s="167">
        <v>1.2642039997737552E-4</v>
      </c>
      <c r="BD181" s="168">
        <v>50</v>
      </c>
      <c r="BE181" s="170">
        <v>5.2654096590576899E-3</v>
      </c>
      <c r="BF181" s="171">
        <v>3.0918436048489074E-3</v>
      </c>
      <c r="BH181" s="81">
        <f t="shared" si="160"/>
        <v>334.78153198339692</v>
      </c>
      <c r="BI181" s="80">
        <v>334.78153198339692</v>
      </c>
      <c r="BK181" s="81">
        <f t="shared" si="161"/>
        <v>67.321606408395581</v>
      </c>
      <c r="BL181" s="81">
        <f t="shared" si="162"/>
        <v>50.084937340206793</v>
      </c>
      <c r="BM181" s="81">
        <f t="shared" si="163"/>
        <v>17.236669068188789</v>
      </c>
      <c r="BN181" s="192">
        <f t="shared" si="164"/>
        <v>0.25603472626047186</v>
      </c>
      <c r="BO181" s="81">
        <f t="shared" si="165"/>
        <v>50</v>
      </c>
      <c r="BP181" s="49">
        <f t="shared" si="166"/>
        <v>12.801736313023593</v>
      </c>
      <c r="BQ181" s="82">
        <f t="shared" si="167"/>
        <v>4140.4863729028075</v>
      </c>
      <c r="BS181" s="193">
        <v>4140.4863729028075</v>
      </c>
    </row>
    <row r="182" spans="1:71" x14ac:dyDescent="0.25">
      <c r="A182">
        <v>11</v>
      </c>
      <c r="C182" s="9" t="s">
        <v>77</v>
      </c>
      <c r="D182" s="10" t="s">
        <v>78</v>
      </c>
      <c r="E182" s="11" t="s">
        <v>79</v>
      </c>
      <c r="F182" s="33">
        <v>44461</v>
      </c>
      <c r="G182" s="34">
        <v>0.11458333333333333</v>
      </c>
      <c r="H182" s="28">
        <v>31</v>
      </c>
      <c r="I182" s="28">
        <v>13</v>
      </c>
      <c r="J182" s="28" t="s">
        <v>88</v>
      </c>
      <c r="K182" s="10">
        <v>138</v>
      </c>
      <c r="L182" s="47">
        <f>+((101325*(1-(2.25577*10^-5)*(K182))^5.25588))</f>
        <v>99678.130068961269</v>
      </c>
      <c r="M182" s="10">
        <f t="shared" si="146"/>
        <v>0.99678130068961268</v>
      </c>
      <c r="N182" s="10" t="s">
        <v>15</v>
      </c>
      <c r="O182" s="10">
        <f>_xll.HumidairTdbRHPsi(H182,I182,M182,N182)</f>
        <v>3.684604047792191E-3</v>
      </c>
      <c r="P182" s="49">
        <f>+O182*1000</f>
        <v>3.6846040477921909</v>
      </c>
      <c r="Q182" s="31"/>
      <c r="R182" s="58">
        <v>3.6846040477921909</v>
      </c>
      <c r="S182" s="4"/>
      <c r="T182" s="10">
        <v>11</v>
      </c>
      <c r="U182" s="10" t="s">
        <v>144</v>
      </c>
      <c r="V182" s="78">
        <f>_xll.HumidairTdbRHPsi(H182, I182,M182,U182)</f>
        <v>-0.53647485187673283</v>
      </c>
      <c r="W182" s="79">
        <v>-0.53647485187673283</v>
      </c>
      <c r="X182" s="4"/>
      <c r="Y182" s="10">
        <v>11</v>
      </c>
      <c r="Z182" s="10" t="s">
        <v>145</v>
      </c>
      <c r="AA182" s="78">
        <f>_xll.HumidairTdbRHPsi(H182,I182,M182,Z182)</f>
        <v>40.620312955299376</v>
      </c>
      <c r="AB182" s="81">
        <f t="shared" si="156"/>
        <v>77.620312955299369</v>
      </c>
      <c r="AC182" s="80">
        <v>77.620312955299369</v>
      </c>
      <c r="AE182" s="10" t="s">
        <v>146</v>
      </c>
      <c r="AF182" s="78">
        <f>_xll.HumidairTdbRHPsi(H182,I182,M182,AE182)</f>
        <v>31.19528991601339</v>
      </c>
      <c r="AG182" s="81">
        <f t="shared" si="157"/>
        <v>68.195289916013394</v>
      </c>
      <c r="AH182" s="80">
        <v>68.195289916013394</v>
      </c>
      <c r="AJ182" s="10" t="s">
        <v>150</v>
      </c>
      <c r="AK182" s="84">
        <f>_xll.HumidairTdbRHPsi(H182,I182,M182,AJ182)</f>
        <v>0.87567628661824037</v>
      </c>
      <c r="AL182" s="58">
        <v>0.87567628661824037</v>
      </c>
      <c r="AN182" s="49">
        <f t="shared" si="158"/>
        <v>0.48511522198564977</v>
      </c>
      <c r="AO182" s="81">
        <f t="shared" si="159"/>
        <v>7.5953173201008841</v>
      </c>
      <c r="AP182" s="81">
        <f t="shared" si="148"/>
        <v>18.553359670087563</v>
      </c>
      <c r="AR182" s="58">
        <v>0.48511522198564977</v>
      </c>
      <c r="AS182" s="80">
        <v>7.5953173201008841</v>
      </c>
      <c r="AT182" s="80">
        <v>18.553359670087563</v>
      </c>
      <c r="AU182" s="140"/>
      <c r="AV182" s="49">
        <f t="shared" si="149"/>
        <v>0.14988477801435024</v>
      </c>
      <c r="AW182" s="162">
        <f t="shared" si="150"/>
        <v>1.4988477801435024E-4</v>
      </c>
      <c r="AX182" s="10">
        <f t="shared" si="151"/>
        <v>68</v>
      </c>
      <c r="AY182" s="55">
        <f t="shared" si="152"/>
        <v>8.4900733658448552E-3</v>
      </c>
      <c r="AZ182" s="55">
        <f t="shared" si="153"/>
        <v>4.9853631038431325E-3</v>
      </c>
      <c r="BB182" s="58">
        <v>0.14988477801435024</v>
      </c>
      <c r="BC182" s="167">
        <v>1.4988477801435024E-4</v>
      </c>
      <c r="BD182" s="168">
        <v>68</v>
      </c>
      <c r="BE182" s="170">
        <v>8.4900733658448552E-3</v>
      </c>
      <c r="BF182" s="171">
        <v>4.9853631038431325E-3</v>
      </c>
      <c r="BH182" s="81">
        <f t="shared" si="160"/>
        <v>319.33568943307336</v>
      </c>
      <c r="BI182" s="80">
        <v>319.33568943307336</v>
      </c>
      <c r="BK182" s="81">
        <f t="shared" si="161"/>
        <v>77.620312955299369</v>
      </c>
      <c r="BL182" s="81">
        <f t="shared" si="162"/>
        <v>68.195289916013394</v>
      </c>
      <c r="BM182" s="81">
        <f t="shared" si="163"/>
        <v>9.4250230392859748</v>
      </c>
      <c r="BN182" s="192">
        <f t="shared" si="164"/>
        <v>0.12142469774263517</v>
      </c>
      <c r="BO182" s="81">
        <f t="shared" si="165"/>
        <v>68</v>
      </c>
      <c r="BP182" s="49">
        <f t="shared" si="166"/>
        <v>8.256879446499191</v>
      </c>
      <c r="BQ182" s="82">
        <f t="shared" si="167"/>
        <v>1656.2242858768104</v>
      </c>
      <c r="BS182" s="193">
        <v>1656.2242858768104</v>
      </c>
    </row>
    <row r="183" spans="1:71" x14ac:dyDescent="0.25">
      <c r="A183">
        <v>12</v>
      </c>
      <c r="B183" s="1" t="s">
        <v>48</v>
      </c>
      <c r="C183" s="9" t="s">
        <v>45</v>
      </c>
      <c r="D183" s="10" t="s">
        <v>46</v>
      </c>
      <c r="E183" s="11" t="s">
        <v>47</v>
      </c>
      <c r="F183" s="33">
        <v>44461</v>
      </c>
      <c r="G183" s="29">
        <v>0.15416666666666667</v>
      </c>
      <c r="H183" s="28">
        <v>25</v>
      </c>
      <c r="I183" s="28">
        <v>87</v>
      </c>
      <c r="J183" s="28" t="s">
        <v>87</v>
      </c>
      <c r="K183" s="10">
        <v>30</v>
      </c>
      <c r="L183" s="47">
        <f>+((101325*(1-(2.25577*10^-5)*(K183))^5.25588))</f>
        <v>100965.12412724759</v>
      </c>
      <c r="M183" s="10">
        <f t="shared" si="146"/>
        <v>1.0096512412724759</v>
      </c>
      <c r="N183" s="10" t="s">
        <v>15</v>
      </c>
      <c r="O183" s="10">
        <f>_xll.HumidairTdbRHPsi(H183,I183,M183,N183)</f>
        <v>1.7537489947038094E-2</v>
      </c>
      <c r="P183" s="49">
        <f>+O183*1000</f>
        <v>17.537489947038093</v>
      </c>
      <c r="Q183" s="31"/>
      <c r="R183" s="58">
        <v>17.537489947038093</v>
      </c>
      <c r="S183" s="4"/>
      <c r="T183" s="10">
        <v>12</v>
      </c>
      <c r="U183" s="10" t="s">
        <v>144</v>
      </c>
      <c r="V183" s="78">
        <f>_xll.HumidairTdbRHPsi(H183, I183,M183,U183)</f>
        <v>22.685536479131258</v>
      </c>
      <c r="W183" s="79">
        <v>22.685536479131258</v>
      </c>
      <c r="X183" s="4"/>
      <c r="Y183" s="10">
        <v>12</v>
      </c>
      <c r="Z183" s="10" t="s">
        <v>145</v>
      </c>
      <c r="AA183" s="78">
        <f>_xll.HumidairTdbRHPsi(H183,I183,M183,Z183)</f>
        <v>69.800811749602843</v>
      </c>
      <c r="AB183" s="81">
        <f t="shared" si="156"/>
        <v>106.80081174960284</v>
      </c>
      <c r="AC183" s="80">
        <v>106.80081174960284</v>
      </c>
      <c r="AE183" s="10" t="s">
        <v>146</v>
      </c>
      <c r="AF183" s="78">
        <f>_xll.HumidairTdbRHPsi(H183,I183,M183,AE183)</f>
        <v>25.153197145646878</v>
      </c>
      <c r="AG183" s="81">
        <f t="shared" si="157"/>
        <v>62.153197145646878</v>
      </c>
      <c r="AH183" s="80">
        <v>62.153197145646878</v>
      </c>
      <c r="AJ183" s="10" t="s">
        <v>150</v>
      </c>
      <c r="AK183" s="84">
        <f>_xll.HumidairTdbRHPsi(H183,I183,M183,AJ183)</f>
        <v>0.84741250590286754</v>
      </c>
      <c r="AL183" s="58">
        <v>0.84741250590286754</v>
      </c>
      <c r="AN183" s="49">
        <f t="shared" si="158"/>
        <v>0.50129528796341505</v>
      </c>
      <c r="AO183" s="81">
        <f t="shared" si="159"/>
        <v>34.984350278429098</v>
      </c>
      <c r="AP183" s="81">
        <f t="shared" si="148"/>
        <v>85.457553145574394</v>
      </c>
      <c r="AR183" s="58">
        <v>0.50129528796341505</v>
      </c>
      <c r="AS183" s="80">
        <v>34.984350278429098</v>
      </c>
      <c r="AT183" s="80">
        <v>85.457553145574394</v>
      </c>
      <c r="AU183" s="140"/>
      <c r="AV183" s="49">
        <f t="shared" si="149"/>
        <v>0.13370471203658496</v>
      </c>
      <c r="AW183" s="162">
        <f t="shared" si="150"/>
        <v>1.3370471203658497E-4</v>
      </c>
      <c r="AX183" s="10">
        <f t="shared" si="151"/>
        <v>62</v>
      </c>
      <c r="AY183" s="55">
        <f t="shared" si="152"/>
        <v>6.9053135578414672E-3</v>
      </c>
      <c r="AZ183" s="55">
        <f t="shared" si="153"/>
        <v>4.054793633494696E-3</v>
      </c>
      <c r="BB183" s="58">
        <v>0.13370471203658496</v>
      </c>
      <c r="BC183" s="167">
        <v>1.3370471203658497E-4</v>
      </c>
      <c r="BD183" s="168">
        <v>62</v>
      </c>
      <c r="BE183" s="170">
        <v>6.9053135578414672E-3</v>
      </c>
      <c r="BF183" s="171">
        <v>4.054793633494696E-3</v>
      </c>
      <c r="BH183" s="81">
        <f t="shared" si="160"/>
        <v>329.98650451764962</v>
      </c>
      <c r="BI183" s="80">
        <v>329.98650451764962</v>
      </c>
      <c r="BK183" s="81">
        <f t="shared" si="161"/>
        <v>106.80081174960284</v>
      </c>
      <c r="BL183" s="81">
        <f t="shared" si="162"/>
        <v>62.153197145646878</v>
      </c>
      <c r="BM183" s="81">
        <f t="shared" si="163"/>
        <v>44.647614603955965</v>
      </c>
      <c r="BN183" s="192">
        <f t="shared" si="164"/>
        <v>0.41804564846036385</v>
      </c>
      <c r="BO183" s="81">
        <f t="shared" si="165"/>
        <v>62</v>
      </c>
      <c r="BP183" s="49">
        <f t="shared" si="166"/>
        <v>25.918830204542559</v>
      </c>
      <c r="BQ183" s="82">
        <f t="shared" si="167"/>
        <v>6392.1453339670834</v>
      </c>
      <c r="BS183" s="193">
        <v>6392.1453339670834</v>
      </c>
    </row>
    <row r="184" spans="1:71" x14ac:dyDescent="0.25">
      <c r="A184">
        <v>13</v>
      </c>
      <c r="C184" s="26" t="s">
        <v>49</v>
      </c>
      <c r="D184" s="27" t="s">
        <v>50</v>
      </c>
      <c r="E184" s="10" t="s">
        <v>51</v>
      </c>
      <c r="F184" s="33">
        <v>44461</v>
      </c>
      <c r="G184" s="29">
        <v>0.44861111111111113</v>
      </c>
      <c r="H184" s="28">
        <v>28</v>
      </c>
      <c r="I184" s="28">
        <v>81</v>
      </c>
      <c r="J184" s="28" t="s">
        <v>85</v>
      </c>
      <c r="K184" s="10">
        <v>3</v>
      </c>
      <c r="L184" s="47">
        <f>+((101325*(1-(2.25577*10^-5)*(K184))^5.25588))</f>
        <v>101288.96574192833</v>
      </c>
      <c r="M184" s="10">
        <f t="shared" si="146"/>
        <v>1.0128896574192834</v>
      </c>
      <c r="N184" s="10" t="s">
        <v>15</v>
      </c>
      <c r="O184" s="10">
        <f>_xll.HumidairTdbRHPsi(H184,I184,M184,N184)</f>
        <v>1.9484987035602471E-2</v>
      </c>
      <c r="P184" s="49">
        <f>+O184*1000</f>
        <v>19.484987035602472</v>
      </c>
      <c r="Q184" s="31"/>
      <c r="R184" s="58">
        <v>19.484987035602472</v>
      </c>
      <c r="S184" s="4"/>
      <c r="T184" s="10">
        <v>13</v>
      </c>
      <c r="U184" s="10" t="s">
        <v>144</v>
      </c>
      <c r="V184" s="78">
        <f>_xll.HumidairTdbRHPsi(H184, I184,M184,U184)</f>
        <v>24.434403190280477</v>
      </c>
      <c r="W184" s="79">
        <v>24.434403190280477</v>
      </c>
      <c r="X184" s="4"/>
      <c r="Y184" s="10">
        <v>13</v>
      </c>
      <c r="Z184" s="10" t="s">
        <v>145</v>
      </c>
      <c r="AA184" s="78">
        <f>_xll.HumidairTdbRHPsi(H184,I184,M184,Z184)</f>
        <v>77.88575589897296</v>
      </c>
      <c r="AB184" s="81">
        <f t="shared" si="156"/>
        <v>114.88575589897296</v>
      </c>
      <c r="AC184" s="80">
        <v>114.88575589897296</v>
      </c>
      <c r="AE184" s="10" t="s">
        <v>146</v>
      </c>
      <c r="AF184" s="78">
        <f>_xll.HumidairTdbRHPsi(H184,I184,M184,AE184)</f>
        <v>28.17192772136918</v>
      </c>
      <c r="AG184" s="81">
        <f t="shared" si="157"/>
        <v>65.171927721369173</v>
      </c>
      <c r="AH184" s="80">
        <v>65.171927721369173</v>
      </c>
      <c r="AJ184" s="10" t="s">
        <v>150</v>
      </c>
      <c r="AK184" s="84">
        <f>_xll.HumidairTdbRHPsi(H184,I184,M184,AJ184)</f>
        <v>0.8532247034809709</v>
      </c>
      <c r="AL184" s="58">
        <v>0.8532247034809709</v>
      </c>
      <c r="AN184" s="49">
        <f t="shared" si="158"/>
        <v>0.49788044630830514</v>
      </c>
      <c r="AO184" s="81">
        <f t="shared" si="159"/>
        <v>39.135875248928095</v>
      </c>
      <c r="AP184" s="81">
        <f t="shared" si="148"/>
        <v>95.598635171623897</v>
      </c>
      <c r="AR184" s="58">
        <v>0.49788044630830514</v>
      </c>
      <c r="AS184" s="80">
        <v>39.135875248928095</v>
      </c>
      <c r="AT184" s="80">
        <v>95.598635171623897</v>
      </c>
      <c r="AU184" s="140"/>
      <c r="AV184" s="49">
        <f t="shared" si="149"/>
        <v>0.13711955369169487</v>
      </c>
      <c r="AW184" s="162">
        <f t="shared" si="150"/>
        <v>1.3711955369169487E-4</v>
      </c>
      <c r="AX184" s="10">
        <f t="shared" si="151"/>
        <v>65</v>
      </c>
      <c r="AY184" s="55">
        <f t="shared" si="152"/>
        <v>7.4243382346368186E-3</v>
      </c>
      <c r="AZ184" s="55">
        <f t="shared" si="153"/>
        <v>4.3595644360756424E-3</v>
      </c>
      <c r="BB184" s="58">
        <v>0.13711955369169487</v>
      </c>
      <c r="BC184" s="167">
        <v>1.3711955369169487E-4</v>
      </c>
      <c r="BD184" s="168">
        <v>65</v>
      </c>
      <c r="BE184" s="170">
        <v>7.4243382346368186E-3</v>
      </c>
      <c r="BF184" s="171">
        <v>4.3595644360756424E-3</v>
      </c>
      <c r="BH184" s="81">
        <f t="shared" si="160"/>
        <v>327.73862449901031</v>
      </c>
      <c r="BI184" s="80">
        <v>327.73862449901031</v>
      </c>
      <c r="BK184" s="81">
        <f t="shared" si="161"/>
        <v>114.88575589897296</v>
      </c>
      <c r="BL184" s="81">
        <f t="shared" si="162"/>
        <v>65.171927721369173</v>
      </c>
      <c r="BM184" s="81">
        <f t="shared" si="163"/>
        <v>49.713828177603787</v>
      </c>
      <c r="BN184" s="192">
        <f t="shared" si="164"/>
        <v>0.43272403779386381</v>
      </c>
      <c r="BO184" s="81">
        <f t="shared" si="165"/>
        <v>65</v>
      </c>
      <c r="BP184" s="49">
        <f t="shared" si="166"/>
        <v>28.127062456601148</v>
      </c>
      <c r="BQ184" s="82">
        <f t="shared" si="167"/>
        <v>6451.8056491717643</v>
      </c>
      <c r="BS184" s="193">
        <v>6451.8056491717643</v>
      </c>
    </row>
    <row r="185" spans="1:71" x14ac:dyDescent="0.25">
      <c r="A185" s="5">
        <v>14</v>
      </c>
      <c r="B185" s="14"/>
      <c r="C185" s="9" t="s">
        <v>172</v>
      </c>
      <c r="D185" s="10" t="s">
        <v>83</v>
      </c>
      <c r="E185" s="10" t="s">
        <v>84</v>
      </c>
      <c r="F185" s="33">
        <v>44461</v>
      </c>
      <c r="G185" s="29">
        <v>0.23958333333333334</v>
      </c>
      <c r="H185" s="28">
        <v>25</v>
      </c>
      <c r="I185" s="28">
        <v>87</v>
      </c>
      <c r="J185" s="28" t="s">
        <v>75</v>
      </c>
      <c r="K185" s="10">
        <v>61</v>
      </c>
      <c r="L185" s="47">
        <f>+((101325*(1-(2.25577*10^-5)*(K185))^5.25588))</f>
        <v>100594.34040699142</v>
      </c>
      <c r="M185" s="10">
        <f t="shared" si="146"/>
        <v>1.0059434040699142</v>
      </c>
      <c r="N185" s="10" t="s">
        <v>15</v>
      </c>
      <c r="O185" s="10">
        <f>_xll.HumidairTdbRHPsi(H185,I185,M185,N185)</f>
        <v>1.7603770274018452E-2</v>
      </c>
      <c r="P185" s="49">
        <f>+O185*1000</f>
        <v>17.603770274018451</v>
      </c>
      <c r="Q185" s="31"/>
      <c r="R185" s="58">
        <v>17.603770274018451</v>
      </c>
      <c r="S185" s="4"/>
      <c r="T185" s="10">
        <v>14</v>
      </c>
      <c r="U185" s="10" t="s">
        <v>144</v>
      </c>
      <c r="V185" s="78">
        <f>_xll.HumidairTdbRHPsi(H185, I185,M185,U185)</f>
        <v>22.68553891214026</v>
      </c>
      <c r="W185" s="79">
        <v>22.68553891214026</v>
      </c>
      <c r="X185" s="4"/>
      <c r="Y185" s="10">
        <v>14</v>
      </c>
      <c r="Z185" s="10" t="s">
        <v>145</v>
      </c>
      <c r="AA185" s="78">
        <f>_xll.HumidairTdbRHPsi(H185,I185,M185,Z185)</f>
        <v>69.970458927426179</v>
      </c>
      <c r="AB185" s="81">
        <f t="shared" si="156"/>
        <v>106.97045892742618</v>
      </c>
      <c r="AC185" s="80">
        <v>106.97045892742618</v>
      </c>
      <c r="AE185" s="10" t="s">
        <v>146</v>
      </c>
      <c r="AF185" s="78">
        <f>_xll.HumidairTdbRHPsi(H185,I185,M185,AE185)</f>
        <v>25.154051863275779</v>
      </c>
      <c r="AG185" s="81">
        <f t="shared" si="157"/>
        <v>62.154051863275782</v>
      </c>
      <c r="AH185" s="80">
        <v>62.154051863275782</v>
      </c>
      <c r="AJ185" s="10" t="s">
        <v>150</v>
      </c>
      <c r="AK185" s="84">
        <f>_xll.HumidairTdbRHPsi(H185,I185,M185,AJ185)</f>
        <v>0.85053696627203335</v>
      </c>
      <c r="AL185" s="58">
        <v>0.85053696627203335</v>
      </c>
      <c r="AN185" s="49">
        <f t="shared" si="158"/>
        <v>0.49945377216504078</v>
      </c>
      <c r="AO185" s="81">
        <f t="shared" si="159"/>
        <v>35.24604529005623</v>
      </c>
      <c r="AP185" s="81">
        <f t="shared" si="148"/>
        <v>86.096805130706926</v>
      </c>
      <c r="AR185" s="58">
        <v>0.49945377216504078</v>
      </c>
      <c r="AS185" s="80">
        <v>35.24604529005623</v>
      </c>
      <c r="AT185" s="80">
        <v>86.096805130706926</v>
      </c>
      <c r="AU185" s="140"/>
      <c r="AV185" s="49">
        <f t="shared" si="149"/>
        <v>0.13554622783495923</v>
      </c>
      <c r="AW185" s="162">
        <f t="shared" si="150"/>
        <v>1.3554622783495924E-4</v>
      </c>
      <c r="AX185" s="10">
        <f t="shared" si="151"/>
        <v>62</v>
      </c>
      <c r="AY185" s="55">
        <f t="shared" si="152"/>
        <v>7.0004204827643045E-3</v>
      </c>
      <c r="AZ185" s="55">
        <f t="shared" si="153"/>
        <v>4.110640330454671E-3</v>
      </c>
      <c r="BB185" s="58">
        <v>0.13554622783495923</v>
      </c>
      <c r="BC185" s="167">
        <v>1.3554622783495924E-4</v>
      </c>
      <c r="BD185" s="168">
        <v>62</v>
      </c>
      <c r="BE185" s="170">
        <v>7.0004204827643045E-3</v>
      </c>
      <c r="BF185" s="171">
        <v>4.110640330454671E-3</v>
      </c>
      <c r="BH185" s="81">
        <f t="shared" si="160"/>
        <v>328.77429411808981</v>
      </c>
      <c r="BI185" s="80">
        <v>328.77429411808981</v>
      </c>
      <c r="BK185" s="81">
        <f t="shared" si="161"/>
        <v>106.97045892742618</v>
      </c>
      <c r="BL185" s="81">
        <f t="shared" si="162"/>
        <v>62.154051863275782</v>
      </c>
      <c r="BM185" s="81">
        <f t="shared" si="163"/>
        <v>44.816407064150397</v>
      </c>
      <c r="BN185" s="192">
        <f t="shared" si="164"/>
        <v>0.41896059448109846</v>
      </c>
      <c r="BO185" s="81">
        <f t="shared" si="165"/>
        <v>62</v>
      </c>
      <c r="BP185" s="49">
        <f t="shared" si="166"/>
        <v>25.975556857828103</v>
      </c>
      <c r="BQ185" s="82">
        <f t="shared" si="167"/>
        <v>6319.102322181272</v>
      </c>
      <c r="BS185" s="193">
        <v>6319.102322181272</v>
      </c>
    </row>
    <row r="186" spans="1:71" x14ac:dyDescent="0.25">
      <c r="A186">
        <v>15</v>
      </c>
      <c r="C186" s="9" t="s">
        <v>52</v>
      </c>
      <c r="D186" s="10" t="s">
        <v>53</v>
      </c>
      <c r="E186" s="10" t="s">
        <v>54</v>
      </c>
      <c r="F186" s="33">
        <v>44460</v>
      </c>
      <c r="G186" s="29">
        <v>0.9868055555555556</v>
      </c>
      <c r="H186" s="28">
        <v>10</v>
      </c>
      <c r="I186" s="28">
        <v>84</v>
      </c>
      <c r="J186" s="28" t="s">
        <v>85</v>
      </c>
      <c r="K186" s="10">
        <v>533</v>
      </c>
      <c r="L186" s="47">
        <f t="shared" ref="L186:L191" si="168">+((101325*(1-(2.25577*10^-5)*(K186))^5.25588))</f>
        <v>95083.68775760736</v>
      </c>
      <c r="M186" s="10">
        <f t="shared" si="146"/>
        <v>0.9508368775760736</v>
      </c>
      <c r="N186" s="10" t="s">
        <v>15</v>
      </c>
      <c r="O186" s="10">
        <f>_xll.HumidairTdbRHPsi(H186,I186,M186,N186)</f>
        <v>6.8473756946902048E-3</v>
      </c>
      <c r="P186" s="49">
        <f t="shared" ref="P186:P191" si="169">+O186*1000</f>
        <v>6.8473756946902045</v>
      </c>
      <c r="Q186" s="31"/>
      <c r="R186" s="58">
        <v>6.8473756946902045</v>
      </c>
      <c r="S186" s="4"/>
      <c r="T186" s="10">
        <v>15</v>
      </c>
      <c r="U186" s="10" t="s">
        <v>144</v>
      </c>
      <c r="V186" s="78">
        <f>_xll.HumidairTdbRHPsi(H186, I186,M186,U186)</f>
        <v>7.4245672366573103</v>
      </c>
      <c r="W186" s="79">
        <v>7.4245672366573103</v>
      </c>
      <c r="X186" s="4"/>
      <c r="Y186" s="10">
        <v>15</v>
      </c>
      <c r="Z186" s="10" t="s">
        <v>145</v>
      </c>
      <c r="AA186" s="78">
        <f>_xll.HumidairTdbRHPsi(H186,I186,M186,Z186)</f>
        <v>27.319730900420701</v>
      </c>
      <c r="AB186" s="81">
        <f t="shared" si="156"/>
        <v>64.319730900420694</v>
      </c>
      <c r="AC186" s="80">
        <v>64.319730900420694</v>
      </c>
      <c r="AE186" s="10" t="s">
        <v>146</v>
      </c>
      <c r="AF186" s="78">
        <f>_xll.HumidairTdbRHPsi(H186,I186,M186,AE186)</f>
        <v>10.075229671431174</v>
      </c>
      <c r="AG186" s="81">
        <f t="shared" si="157"/>
        <v>47.075229671431174</v>
      </c>
      <c r="AH186" s="80">
        <v>47.075229671431174</v>
      </c>
      <c r="AJ186" s="10" t="s">
        <v>150</v>
      </c>
      <c r="AK186" s="84">
        <f>_xll.HumidairTdbRHPsi(H186,I186,M186,AJ186)</f>
        <v>0.8544514342982501</v>
      </c>
      <c r="AL186" s="58">
        <v>0.8544514342982501</v>
      </c>
      <c r="AN186" s="49">
        <f t="shared" si="158"/>
        <v>0.49716564232730565</v>
      </c>
      <c r="AO186" s="81">
        <f t="shared" si="159"/>
        <v>13.772825617306598</v>
      </c>
      <c r="AP186" s="81">
        <f t="shared" si="148"/>
        <v>33.643385336254916</v>
      </c>
      <c r="AR186" s="58">
        <v>0.49716564232730565</v>
      </c>
      <c r="AS186" s="80">
        <v>13.772825617306598</v>
      </c>
      <c r="AT186" s="80">
        <v>33.643385336254916</v>
      </c>
      <c r="AU186" s="140"/>
      <c r="AV186" s="49">
        <f t="shared" si="149"/>
        <v>0.13783435767269436</v>
      </c>
      <c r="AW186" s="162">
        <f t="shared" si="150"/>
        <v>1.3783435767269437E-4</v>
      </c>
      <c r="AX186" s="10">
        <f t="shared" si="151"/>
        <v>47</v>
      </c>
      <c r="AY186" s="55">
        <f t="shared" si="152"/>
        <v>5.3963529372436569E-3</v>
      </c>
      <c r="AZ186" s="55">
        <f t="shared" si="153"/>
        <v>3.1687333747760756E-3</v>
      </c>
      <c r="BB186" s="58">
        <v>0.13783435767269436</v>
      </c>
      <c r="BC186" s="167">
        <v>1.3783435767269437E-4</v>
      </c>
      <c r="BD186" s="168">
        <v>47</v>
      </c>
      <c r="BE186" s="170">
        <v>5.3963529372436569E-3</v>
      </c>
      <c r="BF186" s="171">
        <v>3.1687333747760756E-3</v>
      </c>
      <c r="BH186" s="81">
        <f t="shared" si="160"/>
        <v>327.2680921146673</v>
      </c>
      <c r="BI186" s="80">
        <v>327.2680921146673</v>
      </c>
      <c r="BK186" s="81">
        <f t="shared" si="161"/>
        <v>64.319730900420694</v>
      </c>
      <c r="BL186" s="81">
        <f t="shared" si="162"/>
        <v>47.075229671431174</v>
      </c>
      <c r="BM186" s="81">
        <f t="shared" si="163"/>
        <v>17.24450122898952</v>
      </c>
      <c r="BN186" s="192">
        <f t="shared" si="164"/>
        <v>0.26810592935606842</v>
      </c>
      <c r="BO186" s="81">
        <f t="shared" si="165"/>
        <v>47</v>
      </c>
      <c r="BP186" s="49">
        <f t="shared" si="166"/>
        <v>12.600978679735215</v>
      </c>
      <c r="BQ186" s="82">
        <f t="shared" si="167"/>
        <v>3976.6610785376306</v>
      </c>
      <c r="BS186" s="193">
        <v>3976.6610785376306</v>
      </c>
    </row>
    <row r="187" spans="1:71" x14ac:dyDescent="0.25">
      <c r="A187">
        <v>16</v>
      </c>
      <c r="C187" s="9" t="s">
        <v>55</v>
      </c>
      <c r="D187" s="10" t="s">
        <v>56</v>
      </c>
      <c r="E187" s="11" t="s">
        <v>57</v>
      </c>
      <c r="F187" s="33">
        <v>44461</v>
      </c>
      <c r="G187" s="29">
        <v>0.19444444444444445</v>
      </c>
      <c r="H187" s="28">
        <v>9</v>
      </c>
      <c r="I187" s="28">
        <v>93</v>
      </c>
      <c r="J187" s="28" t="s">
        <v>88</v>
      </c>
      <c r="K187" s="10">
        <v>61</v>
      </c>
      <c r="L187" s="47">
        <f t="shared" si="168"/>
        <v>100594.34040699142</v>
      </c>
      <c r="M187" s="10">
        <f t="shared" si="146"/>
        <v>1.0059434040699142</v>
      </c>
      <c r="N187" s="10" t="s">
        <v>15</v>
      </c>
      <c r="O187" s="10">
        <f>_xll.HumidairTdbRHPsi(H187,I187,M187,N187)</f>
        <v>6.6991160770922898E-3</v>
      </c>
      <c r="P187" s="49">
        <f t="shared" si="169"/>
        <v>6.69911607709229</v>
      </c>
      <c r="Q187" s="31"/>
      <c r="R187" s="58">
        <v>6.69911607709229</v>
      </c>
      <c r="S187" s="4"/>
      <c r="T187" s="10">
        <v>16</v>
      </c>
      <c r="U187" s="10" t="s">
        <v>144</v>
      </c>
      <c r="V187" s="78">
        <f>_xll.HumidairTdbRHPsi(H187, I187,M187,U187)</f>
        <v>7.9301028506714601</v>
      </c>
      <c r="W187" s="79">
        <v>7.9301028506714601</v>
      </c>
      <c r="X187" s="4"/>
      <c r="Y187" s="10">
        <v>16</v>
      </c>
      <c r="Z187" s="10" t="s">
        <v>145</v>
      </c>
      <c r="AA187" s="78">
        <f>_xll.HumidairTdbRHPsi(H187,I187,M187,Z187)</f>
        <v>25.913138005324324</v>
      </c>
      <c r="AB187" s="81">
        <f t="shared" si="156"/>
        <v>62.913138005324328</v>
      </c>
      <c r="AC187" s="80">
        <v>62.913138005324328</v>
      </c>
      <c r="AE187" s="10" t="s">
        <v>146</v>
      </c>
      <c r="AF187" s="78">
        <f>_xll.HumidairTdbRHPsi(H187,I187,M187,AE187)</f>
        <v>9.0550584092211288</v>
      </c>
      <c r="AG187" s="81">
        <f t="shared" si="157"/>
        <v>46.055058409221132</v>
      </c>
      <c r="AH187" s="80">
        <v>46.055058409221132</v>
      </c>
      <c r="AJ187" s="10" t="s">
        <v>150</v>
      </c>
      <c r="AK187" s="84">
        <f>_xll.HumidairTdbRHPsi(H187,I187,M187,AJ187)</f>
        <v>0.80476215282901575</v>
      </c>
      <c r="AL187" s="58">
        <v>0.80476215282901575</v>
      </c>
      <c r="AN187" s="49">
        <f t="shared" si="158"/>
        <v>0.52786266684764604</v>
      </c>
      <c r="AO187" s="81">
        <f t="shared" si="159"/>
        <v>12.691020785953437</v>
      </c>
      <c r="AP187" s="81">
        <f t="shared" si="148"/>
        <v>31.000821071584138</v>
      </c>
      <c r="AR187" s="58">
        <v>0.52786266684764604</v>
      </c>
      <c r="AS187" s="80">
        <v>12.691020785953437</v>
      </c>
      <c r="AT187" s="80">
        <v>31.000821071584138</v>
      </c>
      <c r="AU187" s="140"/>
      <c r="AV187" s="49">
        <f t="shared" si="149"/>
        <v>0.10713733315235396</v>
      </c>
      <c r="AW187" s="162">
        <f t="shared" si="150"/>
        <v>1.0713733315235396E-4</v>
      </c>
      <c r="AX187" s="10">
        <f t="shared" si="151"/>
        <v>46</v>
      </c>
      <c r="AY187" s="55">
        <f t="shared" si="152"/>
        <v>4.1052883317318992E-3</v>
      </c>
      <c r="AZ187" s="55">
        <f t="shared" si="153"/>
        <v>2.4106214513986489E-3</v>
      </c>
      <c r="BB187" s="58">
        <v>0.10713733315235396</v>
      </c>
      <c r="BC187" s="167">
        <v>1.0713733315235396E-4</v>
      </c>
      <c r="BD187" s="168">
        <v>46</v>
      </c>
      <c r="BE187" s="170">
        <v>4.1052883317318992E-3</v>
      </c>
      <c r="BF187" s="171">
        <v>2.4106214513986489E-3</v>
      </c>
      <c r="BH187" s="81">
        <f t="shared" si="160"/>
        <v>347.47495235010399</v>
      </c>
      <c r="BI187" s="80">
        <v>347.47495235010399</v>
      </c>
      <c r="BK187" s="81">
        <f t="shared" si="161"/>
        <v>62.913138005324328</v>
      </c>
      <c r="BL187" s="81">
        <f t="shared" si="162"/>
        <v>46.055058409221132</v>
      </c>
      <c r="BM187" s="81">
        <f t="shared" si="163"/>
        <v>16.858079596103195</v>
      </c>
      <c r="BN187" s="192">
        <f t="shared" si="164"/>
        <v>0.26795801529843416</v>
      </c>
      <c r="BO187" s="81">
        <f t="shared" si="165"/>
        <v>46</v>
      </c>
      <c r="BP187" s="49">
        <f t="shared" si="166"/>
        <v>12.326068703727971</v>
      </c>
      <c r="BQ187" s="82">
        <f t="shared" si="167"/>
        <v>5113.2328124668238</v>
      </c>
      <c r="BS187" s="193">
        <v>5113.2328124668238</v>
      </c>
    </row>
    <row r="188" spans="1:71" x14ac:dyDescent="0.25">
      <c r="A188">
        <v>17</v>
      </c>
      <c r="B188" s="1" t="s">
        <v>58</v>
      </c>
      <c r="C188" s="15" t="s">
        <v>59</v>
      </c>
      <c r="D188" s="16" t="s">
        <v>60</v>
      </c>
      <c r="E188" s="4" t="s">
        <v>61</v>
      </c>
      <c r="F188" s="33">
        <v>44461</v>
      </c>
      <c r="G188" s="29">
        <v>2.4999999999999998E-2</v>
      </c>
      <c r="H188" s="28">
        <v>20</v>
      </c>
      <c r="I188" s="28">
        <v>42</v>
      </c>
      <c r="J188" s="36" t="s">
        <v>100</v>
      </c>
      <c r="K188" s="10">
        <v>9</v>
      </c>
      <c r="L188" s="47">
        <f t="shared" si="168"/>
        <v>101216.9283556498</v>
      </c>
      <c r="M188" s="10">
        <f t="shared" si="146"/>
        <v>1.0121692835564979</v>
      </c>
      <c r="N188" s="10" t="s">
        <v>15</v>
      </c>
      <c r="O188" s="10">
        <f>_xll.HumidairTdbRHPsi(H188,I188,M188,N188)</f>
        <v>6.1204606442113721E-3</v>
      </c>
      <c r="P188" s="49">
        <f t="shared" si="169"/>
        <v>6.1204606442113718</v>
      </c>
      <c r="Q188" s="31"/>
      <c r="R188" s="58">
        <v>6.1204606442113718</v>
      </c>
      <c r="S188" s="4"/>
      <c r="T188" s="10">
        <v>17</v>
      </c>
      <c r="U188" s="10" t="s">
        <v>144</v>
      </c>
      <c r="V188" s="78">
        <f>_xll.HumidairTdbRHPsi(H188, I188,M188,U188)</f>
        <v>6.7136770541711712</v>
      </c>
      <c r="W188" s="79">
        <v>6.7136770541711712</v>
      </c>
      <c r="X188" s="4"/>
      <c r="Y188" s="10">
        <v>17</v>
      </c>
      <c r="Z188" s="10" t="s">
        <v>145</v>
      </c>
      <c r="AA188" s="78">
        <f>_xll.HumidairTdbRHPsi(H188,I188,M188,Z188)</f>
        <v>35.649386643442575</v>
      </c>
      <c r="AB188" s="81">
        <f t="shared" si="156"/>
        <v>72.649386643442568</v>
      </c>
      <c r="AC188" s="80">
        <v>72.649386643442568</v>
      </c>
      <c r="AE188" s="10" t="s">
        <v>146</v>
      </c>
      <c r="AF188" s="78">
        <f>_xll.HumidairTdbRHPsi(H188,I188,M188,AE188)</f>
        <v>20.120835978874098</v>
      </c>
      <c r="AG188" s="81">
        <f t="shared" si="157"/>
        <v>57.120835978874098</v>
      </c>
      <c r="AH188" s="80">
        <v>57.120835978874098</v>
      </c>
      <c r="AJ188" s="10" t="s">
        <v>150</v>
      </c>
      <c r="AK188" s="84">
        <f>_xll.HumidairTdbRHPsi(H188,I188,M188,AJ188)</f>
        <v>0.83108850864326955</v>
      </c>
      <c r="AL188" s="58">
        <v>0.83108850864326955</v>
      </c>
      <c r="AN188" s="49">
        <f t="shared" si="158"/>
        <v>0.51114158330002479</v>
      </c>
      <c r="AO188" s="81">
        <f t="shared" si="159"/>
        <v>11.9741004140116</v>
      </c>
      <c r="AP188" s="81">
        <f t="shared" si="148"/>
        <v>29.249573433747042</v>
      </c>
      <c r="AR188" s="58">
        <v>0.51114158330002479</v>
      </c>
      <c r="AS188" s="80">
        <v>11.9741004140116</v>
      </c>
      <c r="AT188" s="80">
        <v>29.249573433747042</v>
      </c>
      <c r="AU188" s="140"/>
      <c r="AV188" s="49">
        <f t="shared" si="149"/>
        <v>0.12385841669997522</v>
      </c>
      <c r="AW188" s="162">
        <f t="shared" si="150"/>
        <v>1.2385841669997522E-4</v>
      </c>
      <c r="AX188" s="10">
        <f t="shared" si="151"/>
        <v>57</v>
      </c>
      <c r="AY188" s="55">
        <f t="shared" si="152"/>
        <v>5.8809214833315231E-3</v>
      </c>
      <c r="AZ188" s="55">
        <f t="shared" si="153"/>
        <v>3.4532715697777588E-3</v>
      </c>
      <c r="BB188" s="58">
        <v>0.12385841669997522</v>
      </c>
      <c r="BC188" s="167">
        <v>1.2385841669997522E-4</v>
      </c>
      <c r="BD188" s="168">
        <v>57</v>
      </c>
      <c r="BE188" s="170">
        <v>5.8809214833315231E-3</v>
      </c>
      <c r="BF188" s="171">
        <v>3.4532715697777588E-3</v>
      </c>
      <c r="BH188" s="81">
        <f t="shared" si="160"/>
        <v>336.46800286521312</v>
      </c>
      <c r="BI188" s="80">
        <v>336.46800286521312</v>
      </c>
      <c r="BK188" s="81">
        <f t="shared" si="161"/>
        <v>72.649386643442568</v>
      </c>
      <c r="BL188" s="81">
        <f t="shared" si="162"/>
        <v>57.120835978874098</v>
      </c>
      <c r="BM188" s="81">
        <f t="shared" si="163"/>
        <v>15.528550664568471</v>
      </c>
      <c r="BN188" s="192">
        <f t="shared" si="164"/>
        <v>0.2137464799363189</v>
      </c>
      <c r="BO188" s="81">
        <f t="shared" si="165"/>
        <v>57</v>
      </c>
      <c r="BP188" s="49">
        <f t="shared" si="166"/>
        <v>12.183549356370177</v>
      </c>
      <c r="BQ188" s="82">
        <f t="shared" si="167"/>
        <v>3528.1179340188037</v>
      </c>
      <c r="BS188" s="193">
        <v>3528.1179340188037</v>
      </c>
    </row>
    <row r="189" spans="1:71" x14ac:dyDescent="0.25">
      <c r="A189">
        <v>18</v>
      </c>
      <c r="C189" s="9" t="s">
        <v>62</v>
      </c>
      <c r="D189" s="10" t="s">
        <v>63</v>
      </c>
      <c r="E189" s="11" t="s">
        <v>64</v>
      </c>
      <c r="F189" s="33">
        <v>44461</v>
      </c>
      <c r="G189" s="29">
        <v>0.61388888888888882</v>
      </c>
      <c r="H189" s="28">
        <v>14</v>
      </c>
      <c r="I189" s="28">
        <v>44</v>
      </c>
      <c r="J189" s="28" t="s">
        <v>100</v>
      </c>
      <c r="K189" s="10">
        <v>6</v>
      </c>
      <c r="L189" s="47">
        <f t="shared" si="168"/>
        <v>101252.94186124044</v>
      </c>
      <c r="M189" s="10">
        <f t="shared" si="146"/>
        <v>1.0125294186124043</v>
      </c>
      <c r="N189" s="10" t="s">
        <v>15</v>
      </c>
      <c r="O189" s="10">
        <f>_xll.HumidairTdbRHPsi(H189,I189,M189,N189)</f>
        <v>4.3686054518665644E-3</v>
      </c>
      <c r="P189" s="49">
        <f t="shared" si="169"/>
        <v>4.3686054518665642</v>
      </c>
      <c r="Q189" s="31"/>
      <c r="R189" s="58">
        <v>4.3686054518665642</v>
      </c>
      <c r="S189" s="4"/>
      <c r="T189" s="82">
        <v>18</v>
      </c>
      <c r="U189" s="10" t="s">
        <v>144</v>
      </c>
      <c r="V189" s="78">
        <f>_xll.HumidairTdbRHPsi(H189, I189,M189,U189)</f>
        <v>1.9501509966503932</v>
      </c>
      <c r="W189" s="79">
        <v>1.9501509966503932</v>
      </c>
      <c r="X189" s="4"/>
      <c r="Y189" s="82">
        <v>18</v>
      </c>
      <c r="Z189" s="10" t="s">
        <v>145</v>
      </c>
      <c r="AA189" s="78">
        <f>_xll.HumidairTdbRHPsi(H189,I189,M189,Z189)</f>
        <v>25.118829283537004</v>
      </c>
      <c r="AB189" s="81">
        <f t="shared" si="156"/>
        <v>62.118829283537004</v>
      </c>
      <c r="AC189" s="80">
        <v>62.118829283537004</v>
      </c>
      <c r="AE189" s="10" t="s">
        <v>146</v>
      </c>
      <c r="AF189" s="78">
        <f>_xll.HumidairTdbRHPsi(H189,I189,M189,AE189)</f>
        <v>14.083600017111193</v>
      </c>
      <c r="AG189" s="81">
        <f t="shared" si="157"/>
        <v>51.083600017111195</v>
      </c>
      <c r="AH189" s="80">
        <v>51.083600017111195</v>
      </c>
      <c r="AJ189" s="10" t="s">
        <v>150</v>
      </c>
      <c r="AK189" s="84">
        <f>_xll.HumidairTdbRHPsi(H189,I189,M189,AJ189)</f>
        <v>0.81373865595578376</v>
      </c>
      <c r="AL189" s="58">
        <v>0.81373865595578376</v>
      </c>
      <c r="AN189" s="49">
        <f t="shared" si="158"/>
        <v>0.52203971516066183</v>
      </c>
      <c r="AO189" s="81">
        <f t="shared" si="159"/>
        <v>8.3683392757236703</v>
      </c>
      <c r="AP189" s="81">
        <f t="shared" si="148"/>
        <v>20.441648700170315</v>
      </c>
      <c r="AR189" s="58">
        <v>0.52203971516066183</v>
      </c>
      <c r="AS189" s="80">
        <v>8.3683392757236703</v>
      </c>
      <c r="AT189" s="80">
        <v>20.441648700170315</v>
      </c>
      <c r="AU189" s="140"/>
      <c r="AV189" s="49">
        <f t="shared" si="149"/>
        <v>0.11296028483933818</v>
      </c>
      <c r="AW189" s="162">
        <f t="shared" si="150"/>
        <v>1.1296028483933818E-4</v>
      </c>
      <c r="AX189" s="10">
        <f t="shared" si="151"/>
        <v>51</v>
      </c>
      <c r="AY189" s="55">
        <f t="shared" si="152"/>
        <v>4.7988917808296037E-3</v>
      </c>
      <c r="AZ189" s="55">
        <f t="shared" si="153"/>
        <v>2.8179047450555511E-3</v>
      </c>
      <c r="BB189" s="58">
        <v>0.11296028483933818</v>
      </c>
      <c r="BC189" s="167">
        <v>1.1296028483933818E-4</v>
      </c>
      <c r="BD189" s="168">
        <v>51</v>
      </c>
      <c r="BE189" s="170">
        <v>4.7988917808296037E-3</v>
      </c>
      <c r="BF189" s="171">
        <v>2.8179047450555511E-3</v>
      </c>
      <c r="BH189" s="81">
        <f t="shared" si="160"/>
        <v>343.64189123961677</v>
      </c>
      <c r="BI189" s="80">
        <v>343.64189123961677</v>
      </c>
      <c r="BK189" s="81">
        <f t="shared" si="161"/>
        <v>62.118829283537004</v>
      </c>
      <c r="BL189" s="81">
        <f t="shared" si="162"/>
        <v>51.083600017111195</v>
      </c>
      <c r="BM189" s="81">
        <f t="shared" si="163"/>
        <v>11.035229266425809</v>
      </c>
      <c r="BN189" s="192">
        <f t="shared" si="164"/>
        <v>0.17764709016096045</v>
      </c>
      <c r="BO189" s="81">
        <f t="shared" si="165"/>
        <v>51</v>
      </c>
      <c r="BP189" s="49">
        <f t="shared" si="166"/>
        <v>9.0600015982089825</v>
      </c>
      <c r="BQ189" s="82">
        <f t="shared" si="167"/>
        <v>3215.1553788701176</v>
      </c>
      <c r="BS189" s="193">
        <v>3215.1553788701176</v>
      </c>
    </row>
    <row r="190" spans="1:71" x14ac:dyDescent="0.25">
      <c r="A190" s="5">
        <v>19</v>
      </c>
      <c r="B190" s="14"/>
      <c r="C190" s="15" t="s">
        <v>65</v>
      </c>
      <c r="D190" s="16" t="s">
        <v>66</v>
      </c>
      <c r="E190" s="4" t="s">
        <v>67</v>
      </c>
      <c r="F190" s="33">
        <v>44460</v>
      </c>
      <c r="G190" s="29">
        <v>0.98749999999999993</v>
      </c>
      <c r="H190" s="28">
        <v>8</v>
      </c>
      <c r="I190" s="28">
        <v>97</v>
      </c>
      <c r="J190" s="28" t="s">
        <v>126</v>
      </c>
      <c r="K190" s="10">
        <v>15</v>
      </c>
      <c r="L190" s="47">
        <f t="shared" si="168"/>
        <v>101144.93246061618</v>
      </c>
      <c r="M190" s="10">
        <f t="shared" si="146"/>
        <v>1.0114493246061618</v>
      </c>
      <c r="N190" s="10" t="s">
        <v>15</v>
      </c>
      <c r="O190" s="10">
        <f>_xll.HumidairTdbRHPsi(H190,I190,M190,N190)</f>
        <v>6.4915768723531036E-3</v>
      </c>
      <c r="P190" s="49">
        <f t="shared" si="169"/>
        <v>6.4915768723531038</v>
      </c>
      <c r="Q190" s="31"/>
      <c r="R190" s="58">
        <v>6.4915768723531038</v>
      </c>
      <c r="S190" s="4"/>
      <c r="T190" s="82">
        <v>19</v>
      </c>
      <c r="U190" s="10" t="s">
        <v>144</v>
      </c>
      <c r="V190" s="78">
        <f>_xll.HumidairTdbRHPsi(H190, I190,M190,U190)</f>
        <v>7.5534060948411366</v>
      </c>
      <c r="W190" s="79">
        <v>7.5534060948411366</v>
      </c>
      <c r="X190" s="4"/>
      <c r="Y190" s="82">
        <v>19</v>
      </c>
      <c r="Z190" s="10" t="s">
        <v>145</v>
      </c>
      <c r="AA190" s="78">
        <f>_xll.HumidairTdbRHPsi(H190,I190,M190,Z190)</f>
        <v>24.371335054914635</v>
      </c>
      <c r="AB190" s="81">
        <f t="shared" si="156"/>
        <v>61.371335054914638</v>
      </c>
      <c r="AC190" s="80">
        <v>61.371335054914638</v>
      </c>
      <c r="AE190" s="10" t="s">
        <v>146</v>
      </c>
      <c r="AF190" s="78">
        <f>_xll.HumidairTdbRHPsi(H190,I190,M190,AE190)</f>
        <v>8.0476513722210665</v>
      </c>
      <c r="AG190" s="81">
        <f t="shared" si="157"/>
        <v>45.047651372221068</v>
      </c>
      <c r="AH190" s="80">
        <v>45.047651372221068</v>
      </c>
      <c r="AJ190" s="10" t="s">
        <v>150</v>
      </c>
      <c r="AK190" s="84">
        <f>_xll.HumidairTdbRHPsi(H190,I190,M190,AJ190)</f>
        <v>0.79753336516128259</v>
      </c>
      <c r="AL190" s="58">
        <v>0.79753336516128259</v>
      </c>
      <c r="AN190" s="49">
        <f t="shared" si="158"/>
        <v>0.53264717781991533</v>
      </c>
      <c r="AO190" s="81">
        <f t="shared" si="159"/>
        <v>12.187386214872362</v>
      </c>
      <c r="AP190" s="81">
        <f t="shared" si="148"/>
        <v>29.77057446755768</v>
      </c>
      <c r="AR190" s="58">
        <v>0.53264717781991533</v>
      </c>
      <c r="AS190" s="80">
        <v>12.187386214872362</v>
      </c>
      <c r="AT190" s="80">
        <v>29.77057446755768</v>
      </c>
      <c r="AU190" s="140"/>
      <c r="AV190" s="49">
        <f t="shared" si="149"/>
        <v>0.10235282218008468</v>
      </c>
      <c r="AW190" s="162">
        <f t="shared" si="150"/>
        <v>1.0235282218008467E-4</v>
      </c>
      <c r="AX190" s="10">
        <f t="shared" si="151"/>
        <v>45</v>
      </c>
      <c r="AY190" s="55">
        <f t="shared" si="152"/>
        <v>3.8366955394204742E-3</v>
      </c>
      <c r="AZ190" s="55">
        <f t="shared" si="153"/>
        <v>2.2529040161012766E-3</v>
      </c>
      <c r="BB190" s="58">
        <v>0.10235282218008468</v>
      </c>
      <c r="BC190" s="167">
        <v>1.0235282218008467E-4</v>
      </c>
      <c r="BD190" s="168">
        <v>45</v>
      </c>
      <c r="BE190" s="170">
        <v>3.8366955394204742E-3</v>
      </c>
      <c r="BF190" s="171">
        <v>2.2529040161012766E-3</v>
      </c>
      <c r="BH190" s="81">
        <f t="shared" si="160"/>
        <v>350.62444146255842</v>
      </c>
      <c r="BI190" s="80">
        <v>350.62444146255842</v>
      </c>
      <c r="BK190" s="81">
        <f t="shared" si="161"/>
        <v>61.371335054914638</v>
      </c>
      <c r="BL190" s="81">
        <f t="shared" si="162"/>
        <v>45.047651372221068</v>
      </c>
      <c r="BM190" s="81">
        <f t="shared" si="163"/>
        <v>16.32368368269357</v>
      </c>
      <c r="BN190" s="192">
        <f t="shared" si="164"/>
        <v>0.26598221577039594</v>
      </c>
      <c r="BO190" s="81">
        <f t="shared" si="165"/>
        <v>45</v>
      </c>
      <c r="BP190" s="49">
        <f t="shared" si="166"/>
        <v>11.969199709667818</v>
      </c>
      <c r="BQ190" s="82">
        <f t="shared" si="167"/>
        <v>5312.7872399912121</v>
      </c>
      <c r="BS190" s="193">
        <v>5312.7872399912121</v>
      </c>
    </row>
    <row r="191" spans="1:71" x14ac:dyDescent="0.25">
      <c r="A191" s="5">
        <v>20</v>
      </c>
      <c r="B191" s="17" t="s">
        <v>68</v>
      </c>
      <c r="C191" s="9" t="s">
        <v>69</v>
      </c>
      <c r="D191" s="10" t="s">
        <v>70</v>
      </c>
      <c r="E191" s="18" t="s">
        <v>71</v>
      </c>
      <c r="F191" s="33">
        <v>44461</v>
      </c>
      <c r="G191" s="29">
        <v>0.61319444444444449</v>
      </c>
      <c r="H191" s="28">
        <v>-20</v>
      </c>
      <c r="I191" s="28">
        <v>49</v>
      </c>
      <c r="J191" s="28" t="s">
        <v>90</v>
      </c>
      <c r="K191" s="10">
        <v>10</v>
      </c>
      <c r="L191" s="47">
        <f t="shared" si="168"/>
        <v>101204.92615896827</v>
      </c>
      <c r="M191" s="10">
        <f t="shared" si="146"/>
        <v>1.0120492615896828</v>
      </c>
      <c r="N191" s="10" t="s">
        <v>15</v>
      </c>
      <c r="O191" s="55">
        <f>_xll.HumidairTdbRHPsi(H191,I191,M191,N191)</f>
        <v>3.1247684750681251E-4</v>
      </c>
      <c r="P191" s="49">
        <f t="shared" si="169"/>
        <v>0.31247684750681254</v>
      </c>
      <c r="Q191" s="31"/>
      <c r="R191" s="58">
        <v>0.31247684750681254</v>
      </c>
      <c r="S191" s="4"/>
      <c r="T191" s="82">
        <v>20</v>
      </c>
      <c r="U191" s="10" t="s">
        <v>144</v>
      </c>
      <c r="V191" s="78">
        <f>_xll.HumidairTdbRHPsi(H191, I191,M191,U191)</f>
        <v>-27.222956823380173</v>
      </c>
      <c r="W191" s="80">
        <v>-27.222956823380173</v>
      </c>
      <c r="X191" s="4"/>
      <c r="Y191" s="82">
        <v>20</v>
      </c>
      <c r="Z191" s="10" t="s">
        <v>145</v>
      </c>
      <c r="AA191" s="78">
        <f>_xll.HumidairTdbRHPsi(H191,I191,M191,Z191)</f>
        <v>-19.34472289458397</v>
      </c>
      <c r="AB191" s="81">
        <f t="shared" si="156"/>
        <v>17.65527710541603</v>
      </c>
      <c r="AC191" s="80">
        <v>17.65527710541603</v>
      </c>
      <c r="AE191" s="10" t="s">
        <v>146</v>
      </c>
      <c r="AF191" s="78">
        <f>_xll.HumidairTdbRHPsi(H191,I191,M191,AE191)</f>
        <v>-20.11433051485162</v>
      </c>
      <c r="AG191" s="81">
        <f t="shared" si="157"/>
        <v>16.88566948514838</v>
      </c>
      <c r="AH191" s="80">
        <v>16.88566948514838</v>
      </c>
      <c r="AJ191" s="10" t="s">
        <v>150</v>
      </c>
      <c r="AK191" s="84">
        <f>_xll.HumidairTdbRHPsi(H191,I191,M191,AJ191)</f>
        <v>0.71738992881715269</v>
      </c>
      <c r="AL191" s="58">
        <v>0.71738992881715269</v>
      </c>
      <c r="AN191" s="49">
        <f t="shared" si="158"/>
        <v>0.59215202096689945</v>
      </c>
      <c r="AO191" s="81">
        <f t="shared" si="159"/>
        <v>0.52769700421959653</v>
      </c>
      <c r="AP191" s="81">
        <f t="shared" si="148"/>
        <v>1.2890247903406682</v>
      </c>
      <c r="AR191" s="58">
        <v>0.59215202096689945</v>
      </c>
      <c r="AS191" s="80">
        <v>0.52769700421959653</v>
      </c>
      <c r="AT191" s="80">
        <v>1.2890247903406682</v>
      </c>
      <c r="AU191" s="140"/>
      <c r="AV191" s="49">
        <f t="shared" si="149"/>
        <v>4.2847979033100558E-2</v>
      </c>
      <c r="AW191" s="162">
        <f t="shared" si="150"/>
        <v>4.284797903310056E-5</v>
      </c>
      <c r="AX191" s="10">
        <f t="shared" si="151"/>
        <v>17</v>
      </c>
      <c r="AY191" s="55">
        <f t="shared" si="152"/>
        <v>6.0677023108773691E-4</v>
      </c>
      <c r="AZ191" s="55">
        <f t="shared" si="153"/>
        <v>3.5629490962286369E-4</v>
      </c>
      <c r="BB191" s="58">
        <v>4.2847979033100558E-2</v>
      </c>
      <c r="BC191" s="167">
        <v>4.284797903310056E-5</v>
      </c>
      <c r="BD191" s="168">
        <v>17</v>
      </c>
      <c r="BE191" s="170">
        <v>6.0677023108773691E-4</v>
      </c>
      <c r="BF191" s="171">
        <v>3.5629490962286369E-4</v>
      </c>
      <c r="BH191" s="81">
        <f t="shared" si="160"/>
        <v>389.79455868372281</v>
      </c>
      <c r="BI191" s="80">
        <v>389.79455868372281</v>
      </c>
      <c r="BK191" s="78">
        <f t="shared" ref="BK191" si="170">+AB191</f>
        <v>17.65527710541603</v>
      </c>
      <c r="BL191" s="81">
        <f t="shared" ref="BL191" si="171">+AG191</f>
        <v>16.88566948514838</v>
      </c>
      <c r="BM191" s="81">
        <f t="shared" ref="BM191" si="172">+BK191-BL191</f>
        <v>0.76960762026764939</v>
      </c>
      <c r="BN191" s="192">
        <f t="shared" ref="BN191" si="173">+BM191/BK191</f>
        <v>4.3590798132053125E-2</v>
      </c>
      <c r="BO191" s="81">
        <v>0</v>
      </c>
      <c r="BP191" s="49">
        <f t="shared" ref="BP191" si="174">+BN191*BO191*-1</f>
        <v>0</v>
      </c>
      <c r="BQ191" s="82"/>
      <c r="BS191" s="9"/>
    </row>
    <row r="193" spans="1:71" x14ac:dyDescent="0.25">
      <c r="AN193" s="4" t="s">
        <v>230</v>
      </c>
    </row>
    <row r="194" spans="1:71" x14ac:dyDescent="0.25">
      <c r="AH194" s="197"/>
      <c r="AK194" s="86" t="s">
        <v>158</v>
      </c>
      <c r="AN194" s="4">
        <v>413.55</v>
      </c>
      <c r="AO194" s="139" t="s">
        <v>231</v>
      </c>
      <c r="AX194" s="4" t="s">
        <v>192</v>
      </c>
      <c r="AY194" s="27" t="s">
        <v>271</v>
      </c>
      <c r="AZ194" s="86" t="s">
        <v>158</v>
      </c>
      <c r="BD194" s="70" t="s">
        <v>192</v>
      </c>
      <c r="BE194" s="70" t="s">
        <v>271</v>
      </c>
      <c r="BF194" s="83"/>
      <c r="BH194" s="27" t="s">
        <v>233</v>
      </c>
      <c r="BI194" s="70" t="s">
        <v>233</v>
      </c>
      <c r="BK194" s="86" t="s">
        <v>158</v>
      </c>
      <c r="BQ194" s="4"/>
      <c r="BS194" s="57"/>
    </row>
    <row r="195" spans="1:71" x14ac:dyDescent="0.25">
      <c r="K195" s="2"/>
      <c r="M195" s="30"/>
      <c r="N195" s="25"/>
      <c r="O195" s="25"/>
      <c r="R195" s="66" t="s">
        <v>168</v>
      </c>
      <c r="T195" s="69"/>
      <c r="Y195" t="s">
        <v>166</v>
      </c>
      <c r="AB195" s="4"/>
      <c r="AC195" s="57"/>
      <c r="AG195" s="4"/>
      <c r="AH195" s="57"/>
      <c r="AK195" s="26" t="s">
        <v>192</v>
      </c>
      <c r="AL195" s="70" t="s">
        <v>192</v>
      </c>
      <c r="AN195" s="4">
        <v>1.8200000000000001E-2</v>
      </c>
      <c r="AO195" s="139" t="s">
        <v>176</v>
      </c>
      <c r="AX195" s="4" t="s">
        <v>193</v>
      </c>
      <c r="AY195" s="16" t="s">
        <v>193</v>
      </c>
      <c r="BD195" s="72" t="s">
        <v>193</v>
      </c>
      <c r="BE195" s="72" t="s">
        <v>193</v>
      </c>
      <c r="BF195" s="83"/>
      <c r="BH195" s="16" t="s">
        <v>255</v>
      </c>
      <c r="BI195" s="72" t="s">
        <v>255</v>
      </c>
      <c r="BQ195" s="27" t="s">
        <v>306</v>
      </c>
      <c r="BS195" s="70" t="s">
        <v>306</v>
      </c>
    </row>
    <row r="196" spans="1:71" x14ac:dyDescent="0.25">
      <c r="B196" s="45">
        <v>44490</v>
      </c>
      <c r="C196" s="2"/>
      <c r="G196" s="51"/>
      <c r="I196" s="52"/>
      <c r="P196" s="4" t="s">
        <v>72</v>
      </c>
      <c r="R196" s="203" t="s">
        <v>72</v>
      </c>
      <c r="T196" t="s">
        <v>140</v>
      </c>
      <c r="AA196" s="71" t="s">
        <v>134</v>
      </c>
      <c r="AB196" s="27" t="s">
        <v>300</v>
      </c>
      <c r="AC196" s="70" t="s">
        <v>300</v>
      </c>
      <c r="AF196" s="71" t="s">
        <v>134</v>
      </c>
      <c r="AG196" s="27" t="s">
        <v>314</v>
      </c>
      <c r="AH196" s="70" t="s">
        <v>314</v>
      </c>
      <c r="AK196" s="15" t="s">
        <v>147</v>
      </c>
      <c r="AL196" s="72" t="s">
        <v>147</v>
      </c>
      <c r="AN196" s="4">
        <v>1.8405999999999999E-2</v>
      </c>
      <c r="AO196" t="s">
        <v>232</v>
      </c>
      <c r="AQ196" t="s">
        <v>187</v>
      </c>
      <c r="AS196" s="176" t="s">
        <v>315</v>
      </c>
      <c r="AT196" s="87" t="s">
        <v>317</v>
      </c>
      <c r="AV196" s="163" t="s">
        <v>270</v>
      </c>
      <c r="AX196" s="4">
        <v>0.83299999999999996</v>
      </c>
      <c r="AY196" s="16" t="s">
        <v>272</v>
      </c>
      <c r="AZ196" s="27" t="s">
        <v>274</v>
      </c>
      <c r="BB196" s="70" t="s">
        <v>270</v>
      </c>
      <c r="BD196" s="72">
        <v>0.83299999999999996</v>
      </c>
      <c r="BE196" s="72" t="s">
        <v>272</v>
      </c>
      <c r="BF196" s="70" t="s">
        <v>274</v>
      </c>
      <c r="BH196" s="16" t="s">
        <v>282</v>
      </c>
      <c r="BI196" s="72" t="s">
        <v>282</v>
      </c>
      <c r="BK196" s="27" t="s">
        <v>297</v>
      </c>
      <c r="BL196" s="27" t="s">
        <v>299</v>
      </c>
      <c r="BM196" s="26" t="s">
        <v>301</v>
      </c>
      <c r="BO196" s="163" t="s">
        <v>304</v>
      </c>
      <c r="BQ196" s="16" t="s">
        <v>291</v>
      </c>
      <c r="BS196" s="72" t="s">
        <v>291</v>
      </c>
    </row>
    <row r="197" spans="1:71" x14ac:dyDescent="0.25">
      <c r="G197" s="4" t="s">
        <v>0</v>
      </c>
      <c r="K197" s="4" t="s">
        <v>1</v>
      </c>
      <c r="L197" s="4" t="s">
        <v>2</v>
      </c>
      <c r="O197" s="4" t="s">
        <v>72</v>
      </c>
      <c r="P197" s="4" t="s">
        <v>81</v>
      </c>
      <c r="Q197" s="4"/>
      <c r="R197" s="72" t="s">
        <v>81</v>
      </c>
      <c r="V197" s="26" t="s">
        <v>310</v>
      </c>
      <c r="W197" s="87" t="s">
        <v>310</v>
      </c>
      <c r="AA197" s="73" t="s">
        <v>141</v>
      </c>
      <c r="AB197" s="16" t="s">
        <v>141</v>
      </c>
      <c r="AC197" s="72" t="s">
        <v>141</v>
      </c>
      <c r="AF197" s="42" t="s">
        <v>141</v>
      </c>
      <c r="AG197" s="16" t="s">
        <v>141</v>
      </c>
      <c r="AH197" s="72" t="s">
        <v>141</v>
      </c>
      <c r="AK197" s="15" t="s">
        <v>148</v>
      </c>
      <c r="AL197" s="72" t="s">
        <v>148</v>
      </c>
      <c r="AN197" s="27" t="s">
        <v>235</v>
      </c>
      <c r="AO197" s="161" t="s">
        <v>233</v>
      </c>
      <c r="AP197" s="27" t="s">
        <v>233</v>
      </c>
      <c r="AR197" s="176" t="s">
        <v>320</v>
      </c>
      <c r="AS197" s="199" t="s">
        <v>316</v>
      </c>
      <c r="AT197" s="72" t="s">
        <v>318</v>
      </c>
      <c r="AV197" s="73" t="s">
        <v>275</v>
      </c>
      <c r="AW197" s="163" t="s">
        <v>270</v>
      </c>
      <c r="AY197" s="16" t="s">
        <v>251</v>
      </c>
      <c r="AZ197" s="16">
        <v>1.7030000000000001</v>
      </c>
      <c r="BB197" s="72" t="s">
        <v>275</v>
      </c>
      <c r="BC197" s="176" t="s">
        <v>270</v>
      </c>
      <c r="BD197" s="74"/>
      <c r="BE197" s="72" t="s">
        <v>251</v>
      </c>
      <c r="BF197" s="72">
        <v>1.7030000000000001</v>
      </c>
      <c r="BH197" s="173" t="s">
        <v>187</v>
      </c>
      <c r="BI197" s="72" t="s">
        <v>187</v>
      </c>
      <c r="BK197" s="16" t="s">
        <v>298</v>
      </c>
      <c r="BL197" s="16" t="s">
        <v>298</v>
      </c>
      <c r="BM197" s="16" t="s">
        <v>300</v>
      </c>
      <c r="BO197" s="16" t="s">
        <v>303</v>
      </c>
      <c r="BP197" s="161" t="s">
        <v>296</v>
      </c>
      <c r="BQ197" s="16" t="s">
        <v>292</v>
      </c>
      <c r="BS197" s="72" t="s">
        <v>292</v>
      </c>
    </row>
    <row r="198" spans="1:71" ht="17.25" x14ac:dyDescent="0.25">
      <c r="A198" s="5"/>
      <c r="B198" s="5"/>
      <c r="C198" t="s">
        <v>3</v>
      </c>
      <c r="D198" t="s">
        <v>4</v>
      </c>
      <c r="E198" t="s">
        <v>5</v>
      </c>
      <c r="F198" s="4" t="s">
        <v>6</v>
      </c>
      <c r="G198" s="6" t="s">
        <v>7</v>
      </c>
      <c r="H198" s="4" t="s">
        <v>98</v>
      </c>
      <c r="I198" s="4" t="s">
        <v>99</v>
      </c>
      <c r="J198" s="4" t="s">
        <v>74</v>
      </c>
      <c r="K198" s="7" t="s">
        <v>163</v>
      </c>
      <c r="L198" s="7" t="s">
        <v>8</v>
      </c>
      <c r="M198" s="4" t="s">
        <v>9</v>
      </c>
      <c r="N198" s="4" t="s">
        <v>10</v>
      </c>
      <c r="O198" s="4" t="s">
        <v>11</v>
      </c>
      <c r="P198" s="4" t="s">
        <v>82</v>
      </c>
      <c r="Q198" s="4"/>
      <c r="R198" s="77" t="s">
        <v>82</v>
      </c>
      <c r="S198" s="4"/>
      <c r="T198" s="10" t="s">
        <v>142</v>
      </c>
      <c r="U198" s="18" t="s">
        <v>10</v>
      </c>
      <c r="V198" s="13" t="s">
        <v>273</v>
      </c>
      <c r="W198" s="77" t="s">
        <v>311</v>
      </c>
      <c r="X198" s="4"/>
      <c r="Y198" s="27" t="s">
        <v>142</v>
      </c>
      <c r="Z198" s="11" t="s">
        <v>10</v>
      </c>
      <c r="AA198" s="76" t="s">
        <v>143</v>
      </c>
      <c r="AB198" s="13" t="s">
        <v>312</v>
      </c>
      <c r="AC198" s="72" t="s">
        <v>312</v>
      </c>
      <c r="AE198" s="9" t="s">
        <v>10</v>
      </c>
      <c r="AF198" s="76" t="s">
        <v>82</v>
      </c>
      <c r="AG198" s="13" t="s">
        <v>313</v>
      </c>
      <c r="AH198" s="77" t="s">
        <v>313</v>
      </c>
      <c r="AJ198" s="32" t="s">
        <v>10</v>
      </c>
      <c r="AK198" s="12" t="s">
        <v>149</v>
      </c>
      <c r="AL198" s="77" t="s">
        <v>149</v>
      </c>
      <c r="AN198" s="13" t="s">
        <v>230</v>
      </c>
      <c r="AO198" s="76" t="s">
        <v>177</v>
      </c>
      <c r="AP198" s="13" t="s">
        <v>234</v>
      </c>
      <c r="AR198" s="177" t="s">
        <v>321</v>
      </c>
      <c r="AS198" s="177" t="s">
        <v>232</v>
      </c>
      <c r="AT198" s="77" t="s">
        <v>319</v>
      </c>
      <c r="AV198" s="166" t="s">
        <v>149</v>
      </c>
      <c r="AW198" s="13" t="s">
        <v>276</v>
      </c>
      <c r="AX198" s="164" t="s">
        <v>186</v>
      </c>
      <c r="AY198" s="13" t="s">
        <v>82</v>
      </c>
      <c r="AZ198" s="13" t="s">
        <v>273</v>
      </c>
      <c r="BB198" s="77" t="s">
        <v>149</v>
      </c>
      <c r="BC198" s="177" t="s">
        <v>276</v>
      </c>
      <c r="BD198" s="77" t="s">
        <v>186</v>
      </c>
      <c r="BE198" s="77" t="s">
        <v>82</v>
      </c>
      <c r="BF198" s="77" t="s">
        <v>277</v>
      </c>
      <c r="BH198" s="13">
        <v>418</v>
      </c>
      <c r="BI198" s="77">
        <v>418</v>
      </c>
      <c r="BK198" s="13" t="s">
        <v>250</v>
      </c>
      <c r="BL198" s="13" t="s">
        <v>250</v>
      </c>
      <c r="BM198" s="13" t="s">
        <v>295</v>
      </c>
      <c r="BN198" s="18" t="s">
        <v>302</v>
      </c>
      <c r="BO198" s="13" t="s">
        <v>189</v>
      </c>
      <c r="BP198" s="76" t="s">
        <v>277</v>
      </c>
      <c r="BQ198" s="13" t="s">
        <v>305</v>
      </c>
      <c r="BS198" s="77" t="s">
        <v>305</v>
      </c>
    </row>
    <row r="199" spans="1:71" x14ac:dyDescent="0.25">
      <c r="A199">
        <v>1</v>
      </c>
      <c r="C199" s="9" t="s">
        <v>12</v>
      </c>
      <c r="D199" s="10" t="s">
        <v>13</v>
      </c>
      <c r="E199" s="32" t="s">
        <v>14</v>
      </c>
      <c r="F199" s="33">
        <v>44490</v>
      </c>
      <c r="G199" s="29">
        <v>0.60902777777777783</v>
      </c>
      <c r="H199" s="46">
        <v>-5</v>
      </c>
      <c r="I199" s="28">
        <v>85</v>
      </c>
      <c r="J199" s="28" t="s">
        <v>85</v>
      </c>
      <c r="K199" s="10">
        <v>32</v>
      </c>
      <c r="L199" s="47">
        <f>+((101325*(1-(2.25577*10^-5)*(K199))^5.25588))</f>
        <v>100941.16925190832</v>
      </c>
      <c r="M199" s="10">
        <f t="shared" ref="M199:M218" si="175">+L199/100000</f>
        <v>1.0094116925190832</v>
      </c>
      <c r="N199" s="10" t="s">
        <v>15</v>
      </c>
      <c r="O199" s="10">
        <f>_xll.HumidairTdbRHPsi(H199,I199,M199,N199)</f>
        <v>2.1199795266121126E-3</v>
      </c>
      <c r="P199" s="49">
        <f>+O199*1000</f>
        <v>2.1199795266121124</v>
      </c>
      <c r="Q199" s="31"/>
      <c r="R199" s="58">
        <v>2.1199795266121124</v>
      </c>
      <c r="S199" s="4"/>
      <c r="T199" s="10">
        <v>1</v>
      </c>
      <c r="U199" s="10" t="s">
        <v>144</v>
      </c>
      <c r="V199" s="78">
        <f>_xll.HumidairTdbRHPsi(H199, I199,M199,U199)</f>
        <v>-6.888135333350192</v>
      </c>
      <c r="W199" s="79">
        <v>-6.888135333350192</v>
      </c>
      <c r="X199" s="4"/>
      <c r="Y199" s="16">
        <v>1</v>
      </c>
      <c r="Z199" s="88" t="s">
        <v>145</v>
      </c>
      <c r="AA199" s="78">
        <f>_xll.HumidairTdbRHPsi(H199,I199,M199,Z199)</f>
        <v>0.25230127967509569</v>
      </c>
      <c r="AB199" s="78">
        <f>+AA199+37</f>
        <v>37.252301279675095</v>
      </c>
      <c r="AC199" s="80">
        <v>37.252301279675095</v>
      </c>
      <c r="AE199" s="10" t="s">
        <v>146</v>
      </c>
      <c r="AF199" s="78">
        <f>_xll.HumidairTdbRHPsi(H199,I199,M199,AE199)</f>
        <v>-5.0278850443592527</v>
      </c>
      <c r="AG199" s="78">
        <f>+AF199+37</f>
        <v>31.972114955640748</v>
      </c>
      <c r="AH199" s="80">
        <v>31.972114955640748</v>
      </c>
      <c r="AJ199" s="10" t="s">
        <v>150</v>
      </c>
      <c r="AK199" s="84">
        <f>_xll.HumidairTdbRHPsi(H199,I199,M199,AJ199)</f>
        <v>0.76206583894191371</v>
      </c>
      <c r="AL199" s="58">
        <v>0.76206583894191371</v>
      </c>
      <c r="AN199" s="49">
        <f t="shared" ref="AN199:AN218" si="176">+$AN$6*($AL$57/AL199)</f>
        <v>0.55743726389860737</v>
      </c>
      <c r="AO199" s="81">
        <f>+R199/AN199</f>
        <v>3.8030818244646754</v>
      </c>
      <c r="AP199" s="78">
        <f t="shared" ref="AP199:AP218" si="177">+AO199*(44.0059/18.015)</f>
        <v>9.2899271972917035</v>
      </c>
      <c r="AR199" s="58">
        <v>0.55743726389860737</v>
      </c>
      <c r="AS199" s="155">
        <v>3.8030818244646754</v>
      </c>
      <c r="AT199" s="155">
        <v>9.2899271972917035</v>
      </c>
      <c r="AU199" s="140"/>
      <c r="AV199" s="84">
        <f t="shared" ref="AV199:AV218" si="178">+$AN$57-AN199</f>
        <v>7.7562736101392638E-2</v>
      </c>
      <c r="AW199" s="165">
        <f t="shared" ref="AW199:AW218" si="179">+AV199/1000</f>
        <v>7.7562736101392636E-5</v>
      </c>
      <c r="AX199" s="10">
        <f t="shared" ref="AX199:AX218" si="180">37+H199</f>
        <v>32</v>
      </c>
      <c r="AY199" s="55">
        <f t="shared" ref="AY199:AY218" si="181">+AW199*AX199*$AX$9</f>
        <v>2.067512293518722E-3</v>
      </c>
      <c r="AZ199" s="55">
        <f t="shared" ref="AZ199:AZ218" si="182">+AY199/1.703</f>
        <v>1.2140412762881516E-3</v>
      </c>
      <c r="BB199" s="58">
        <v>7.7562736101392638E-2</v>
      </c>
      <c r="BC199" s="167">
        <v>7.7562736101392636E-5</v>
      </c>
      <c r="BD199" s="168">
        <v>32</v>
      </c>
      <c r="BE199" s="168">
        <v>2.067512293518722E-3</v>
      </c>
      <c r="BF199" s="169">
        <v>1.2140412762881516E-3</v>
      </c>
      <c r="BH199" s="81">
        <f>418*($AL$57/AL199)</f>
        <v>366.94295481829585</v>
      </c>
      <c r="BI199" s="80">
        <v>366.94295481829585</v>
      </c>
      <c r="BK199" s="81">
        <f>+AB199</f>
        <v>37.252301279675095</v>
      </c>
      <c r="BL199" s="81">
        <f>+AG199</f>
        <v>31.972114955640748</v>
      </c>
      <c r="BM199" s="81">
        <f>+BK199-BL199</f>
        <v>5.2801863240343465</v>
      </c>
      <c r="BN199" s="192">
        <f>+BM199/BK199</f>
        <v>0.14174121175475468</v>
      </c>
      <c r="BO199" s="81">
        <f>+H199-$H$57</f>
        <v>32</v>
      </c>
      <c r="BP199" s="49">
        <f>+BN199*BO199</f>
        <v>4.5357187761521498</v>
      </c>
      <c r="BQ199" s="82">
        <f>+BP199/AZ199</f>
        <v>3736.0498895225383</v>
      </c>
      <c r="BS199" s="193">
        <v>3736.0498895225401</v>
      </c>
    </row>
    <row r="200" spans="1:71" x14ac:dyDescent="0.25">
      <c r="A200">
        <v>2</v>
      </c>
      <c r="B200" s="1" t="s">
        <v>16</v>
      </c>
      <c r="C200" s="12" t="s">
        <v>17</v>
      </c>
      <c r="D200" s="13" t="s">
        <v>18</v>
      </c>
      <c r="E200" s="11" t="s">
        <v>19</v>
      </c>
      <c r="F200" s="33">
        <v>44491</v>
      </c>
      <c r="G200" s="29">
        <v>0.15069444444444444</v>
      </c>
      <c r="H200" s="28">
        <v>-10</v>
      </c>
      <c r="I200" s="28">
        <v>87</v>
      </c>
      <c r="J200" s="28" t="s">
        <v>85</v>
      </c>
      <c r="K200" s="10">
        <v>41</v>
      </c>
      <c r="L200" s="47">
        <f t="shared" ref="L200:L208" si="183">+((101325*(1-(2.25577*10^-5)*(K200))^5.25588))</f>
        <v>100833.42925724134</v>
      </c>
      <c r="M200" s="10">
        <f t="shared" si="175"/>
        <v>1.0083342925724135</v>
      </c>
      <c r="N200" s="10" t="s">
        <v>15</v>
      </c>
      <c r="O200" s="10">
        <f>_xll.HumidairTdbRHPsi(H200,I200,M200,N200)</f>
        <v>1.4036732229729761E-3</v>
      </c>
      <c r="P200" s="49">
        <f t="shared" ref="P200:P208" si="184">+O200*1000</f>
        <v>1.403673222972976</v>
      </c>
      <c r="Q200" s="31"/>
      <c r="R200" s="58">
        <v>1.403673222972976</v>
      </c>
      <c r="S200" s="4"/>
      <c r="T200" s="10">
        <v>2</v>
      </c>
      <c r="U200" s="10" t="s">
        <v>144</v>
      </c>
      <c r="V200" s="78">
        <f>_xll.HumidairTdbRHPsi(H200, I200,M200,U200)</f>
        <v>-11.559615937096225</v>
      </c>
      <c r="W200" s="79">
        <v>-11.559615937096225</v>
      </c>
      <c r="X200" s="4"/>
      <c r="Y200" s="16">
        <v>2</v>
      </c>
      <c r="Z200" s="88" t="s">
        <v>145</v>
      </c>
      <c r="AA200" s="78">
        <f>_xll.HumidairTdbRHPsi(H200,I200,M200,Z200)</f>
        <v>-6.573130155838637</v>
      </c>
      <c r="AB200" s="81">
        <f t="shared" ref="AB200:AB218" si="185">+AA200+37</f>
        <v>30.426869844161363</v>
      </c>
      <c r="AC200" s="80">
        <v>30.426869844161363</v>
      </c>
      <c r="AE200" s="10" t="s">
        <v>146</v>
      </c>
      <c r="AF200" s="78">
        <f>_xll.HumidairTdbRHPsi(H200,I200,M200,AE200)</f>
        <v>-10.056239787300802</v>
      </c>
      <c r="AG200" s="81">
        <f t="shared" ref="AG200:AG218" si="186">+AF200+37</f>
        <v>26.943760212699196</v>
      </c>
      <c r="AH200" s="80">
        <v>26.943760212699196</v>
      </c>
      <c r="AJ200" s="10" t="s">
        <v>150</v>
      </c>
      <c r="AK200" s="84">
        <f>_xll.HumidairTdbRHPsi(H200,I200,M200,AJ200)</f>
        <v>0.74860106140188476</v>
      </c>
      <c r="AL200" s="58">
        <v>0.74860106140188476</v>
      </c>
      <c r="AN200" s="49">
        <f t="shared" si="176"/>
        <v>0.5674636573114904</v>
      </c>
      <c r="AO200" s="81">
        <f t="shared" ref="AO200:AO218" si="187">+R200/AN200</f>
        <v>2.4735914007660864</v>
      </c>
      <c r="AP200" s="81">
        <f t="shared" si="177"/>
        <v>6.0423322688299921</v>
      </c>
      <c r="AR200" s="58">
        <v>0.5674636573114904</v>
      </c>
      <c r="AS200" s="155">
        <v>2.4735914007660864</v>
      </c>
      <c r="AT200" s="155">
        <v>6.0423322688299921</v>
      </c>
      <c r="AU200" s="140"/>
      <c r="AV200" s="49">
        <f t="shared" si="178"/>
        <v>6.753634268850961E-2</v>
      </c>
      <c r="AW200" s="162">
        <f t="shared" si="179"/>
        <v>6.7536342688509607E-5</v>
      </c>
      <c r="AX200" s="10">
        <f t="shared" si="180"/>
        <v>27</v>
      </c>
      <c r="AY200" s="55">
        <f t="shared" si="181"/>
        <v>1.5189598834072695E-3</v>
      </c>
      <c r="AZ200" s="55">
        <f t="shared" si="182"/>
        <v>8.9193181644584224E-4</v>
      </c>
      <c r="BB200" s="58">
        <v>6.753634268850961E-2</v>
      </c>
      <c r="BC200" s="167">
        <v>6.7536342688509607E-5</v>
      </c>
      <c r="BD200" s="168">
        <v>27</v>
      </c>
      <c r="BE200" s="170">
        <v>1.5189598834072695E-3</v>
      </c>
      <c r="BF200" s="169">
        <v>8.9193181644584224E-4</v>
      </c>
      <c r="BH200" s="81">
        <f t="shared" ref="BH200:BH218" si="188">418*($AL$57/AL200)</f>
        <v>373.54300591528028</v>
      </c>
      <c r="BI200" s="80">
        <v>373.54300591528028</v>
      </c>
      <c r="BK200" s="81">
        <f t="shared" ref="BK200:BK217" si="189">+AB200</f>
        <v>30.426869844161363</v>
      </c>
      <c r="BL200" s="81">
        <f t="shared" ref="BL200:BL217" si="190">+AG200</f>
        <v>26.943760212699196</v>
      </c>
      <c r="BM200" s="81">
        <f t="shared" ref="BM200:BM217" si="191">+BK200-BL200</f>
        <v>3.4831096314621668</v>
      </c>
      <c r="BN200" s="192">
        <f t="shared" ref="BN200:BN217" si="192">+BM200/BK200</f>
        <v>0.1144747931450643</v>
      </c>
      <c r="BO200" s="81">
        <f t="shared" ref="BO200:BO217" si="193">+H200-$H$57</f>
        <v>27</v>
      </c>
      <c r="BP200" s="49">
        <f t="shared" ref="BP200:BP217" si="194">+BN200*BO200</f>
        <v>3.0908194149167363</v>
      </c>
      <c r="BQ200" s="82">
        <f t="shared" ref="BQ200:BQ217" si="195">+BP200/AZ200</f>
        <v>3465.309071755049</v>
      </c>
      <c r="BS200" s="193">
        <v>3465.309071755049</v>
      </c>
    </row>
    <row r="201" spans="1:71" x14ac:dyDescent="0.25">
      <c r="A201">
        <v>3</v>
      </c>
      <c r="C201" s="12" t="s">
        <v>20</v>
      </c>
      <c r="D201" s="10" t="s">
        <v>21</v>
      </c>
      <c r="E201" s="11" t="s">
        <v>22</v>
      </c>
      <c r="F201" s="33">
        <v>44490</v>
      </c>
      <c r="G201" s="29">
        <v>0.85</v>
      </c>
      <c r="H201" s="28">
        <v>1</v>
      </c>
      <c r="I201" s="28">
        <v>64</v>
      </c>
      <c r="J201" s="28" t="s">
        <v>102</v>
      </c>
      <c r="K201" s="10">
        <v>15</v>
      </c>
      <c r="L201" s="47">
        <f t="shared" si="183"/>
        <v>101144.93246061618</v>
      </c>
      <c r="M201" s="10">
        <f t="shared" si="175"/>
        <v>1.0114493246061618</v>
      </c>
      <c r="N201" s="10" t="s">
        <v>15</v>
      </c>
      <c r="O201" s="10">
        <f>_xll.HumidairTdbRHPsi(H201,I201,M201,N201)</f>
        <v>2.6070377700407764E-3</v>
      </c>
      <c r="P201" s="49">
        <f t="shared" si="184"/>
        <v>2.6070377700407765</v>
      </c>
      <c r="Q201" s="31"/>
      <c r="R201" s="58">
        <v>2.6070377700407765</v>
      </c>
      <c r="S201" s="4"/>
      <c r="T201" s="10">
        <v>3</v>
      </c>
      <c r="U201" s="10" t="s">
        <v>144</v>
      </c>
      <c r="V201" s="78">
        <f>_xll.HumidairTdbRHPsi(H201, I201,M201,U201)</f>
        <v>-4.4663324529932993</v>
      </c>
      <c r="W201" s="79">
        <v>-4.4663324529932993</v>
      </c>
      <c r="X201" s="4"/>
      <c r="Y201" s="16">
        <v>3</v>
      </c>
      <c r="Z201" s="88" t="s">
        <v>145</v>
      </c>
      <c r="AA201" s="78">
        <f>_xll.HumidairTdbRHPsi(H201,I201,M201,Z201)</f>
        <v>7.5287389968554459</v>
      </c>
      <c r="AB201" s="81">
        <f t="shared" si="185"/>
        <v>44.528738996855445</v>
      </c>
      <c r="AC201" s="80">
        <v>44.528738996855445</v>
      </c>
      <c r="AE201" s="10" t="s">
        <v>146</v>
      </c>
      <c r="AF201" s="78">
        <f>_xll.HumidairTdbRHPsi(H201,I201,M201,AE201)</f>
        <v>1.0063330434895155</v>
      </c>
      <c r="AG201" s="81">
        <f t="shared" si="186"/>
        <v>38.006333043489512</v>
      </c>
      <c r="AH201" s="80">
        <v>38.006333043489512</v>
      </c>
      <c r="AJ201" s="10" t="s">
        <v>150</v>
      </c>
      <c r="AK201" s="84">
        <f>_xll.HumidairTdbRHPsi(H201,I201,M201,AJ201)</f>
        <v>0.77760983472598821</v>
      </c>
      <c r="AL201" s="58">
        <v>0.77760983472598821</v>
      </c>
      <c r="AN201" s="49">
        <f t="shared" si="176"/>
        <v>0.54629439752400799</v>
      </c>
      <c r="AO201" s="81">
        <f t="shared" si="187"/>
        <v>4.7722213184992528</v>
      </c>
      <c r="AP201" s="81">
        <f t="shared" si="177"/>
        <v>11.65727971799868</v>
      </c>
      <c r="AR201" s="58">
        <v>0.54629439752400799</v>
      </c>
      <c r="AS201" s="155">
        <v>4.7722213184992528</v>
      </c>
      <c r="AT201" s="155">
        <v>11.65727971799868</v>
      </c>
      <c r="AU201" s="140"/>
      <c r="AV201" s="49">
        <f t="shared" si="178"/>
        <v>8.8705602475992018E-2</v>
      </c>
      <c r="AW201" s="162">
        <f t="shared" si="179"/>
        <v>8.8705602475992013E-5</v>
      </c>
      <c r="AX201" s="10">
        <f t="shared" si="180"/>
        <v>38</v>
      </c>
      <c r="AY201" s="55">
        <f t="shared" si="181"/>
        <v>2.8078871407750511E-3</v>
      </c>
      <c r="AZ201" s="55">
        <f t="shared" si="182"/>
        <v>1.6487886910012044E-3</v>
      </c>
      <c r="BB201" s="58">
        <v>8.8705602475992018E-2</v>
      </c>
      <c r="BC201" s="167">
        <v>8.8705602475992013E-5</v>
      </c>
      <c r="BD201" s="168">
        <v>38</v>
      </c>
      <c r="BE201" s="170">
        <v>2.8078871407750511E-3</v>
      </c>
      <c r="BF201" s="171">
        <v>1.6487886910012044E-3</v>
      </c>
      <c r="BH201" s="81">
        <f t="shared" si="188"/>
        <v>359.60796561422887</v>
      </c>
      <c r="BI201" s="80">
        <v>359.60796561422887</v>
      </c>
      <c r="BK201" s="81">
        <f t="shared" si="189"/>
        <v>44.528738996855445</v>
      </c>
      <c r="BL201" s="81">
        <f t="shared" si="190"/>
        <v>38.006333043489512</v>
      </c>
      <c r="BM201" s="81">
        <f t="shared" si="191"/>
        <v>6.5224059533659329</v>
      </c>
      <c r="BN201" s="192">
        <f t="shared" si="192"/>
        <v>0.14647632293891225</v>
      </c>
      <c r="BO201" s="81">
        <f t="shared" si="193"/>
        <v>38</v>
      </c>
      <c r="BP201" s="49">
        <f t="shared" si="194"/>
        <v>5.5661002716786649</v>
      </c>
      <c r="BQ201" s="82">
        <f t="shared" si="195"/>
        <v>3375.8724220134764</v>
      </c>
      <c r="BS201" s="193">
        <v>3375.8724220134764</v>
      </c>
    </row>
    <row r="202" spans="1:71" x14ac:dyDescent="0.25">
      <c r="A202" s="5">
        <v>4</v>
      </c>
      <c r="B202" s="14"/>
      <c r="C202" s="12" t="s">
        <v>23</v>
      </c>
      <c r="D202" s="10" t="s">
        <v>24</v>
      </c>
      <c r="E202" s="11" t="s">
        <v>25</v>
      </c>
      <c r="F202" s="33">
        <v>44490</v>
      </c>
      <c r="G202" s="29">
        <v>0.52500000000000002</v>
      </c>
      <c r="H202" s="28">
        <v>0</v>
      </c>
      <c r="I202" s="28">
        <v>86</v>
      </c>
      <c r="J202" s="28" t="s">
        <v>75</v>
      </c>
      <c r="K202" s="10">
        <v>26</v>
      </c>
      <c r="L202" s="47">
        <f t="shared" si="183"/>
        <v>101013.04768769341</v>
      </c>
      <c r="M202" s="10">
        <f t="shared" si="175"/>
        <v>1.0101304768769341</v>
      </c>
      <c r="N202" s="10" t="s">
        <v>15</v>
      </c>
      <c r="O202" s="10">
        <f>_xll.HumidairTdbRHPsi(H202,I202,M202,N202)</f>
        <v>3.2660957866214851E-3</v>
      </c>
      <c r="P202" s="49">
        <f t="shared" si="184"/>
        <v>3.2660957866214853</v>
      </c>
      <c r="Q202" s="31"/>
      <c r="R202" s="58">
        <v>3.2660957866214853</v>
      </c>
      <c r="S202" s="4"/>
      <c r="T202" s="10">
        <v>4</v>
      </c>
      <c r="U202" s="10" t="s">
        <v>144</v>
      </c>
      <c r="V202" s="78">
        <f>_xll.HumidairTdbRHPsi(H202, I202,M202,U202)</f>
        <v>-1.8203210126692397</v>
      </c>
      <c r="W202" s="79">
        <v>-1.8203210126692397</v>
      </c>
      <c r="X202" s="4"/>
      <c r="Y202" s="16">
        <v>4</v>
      </c>
      <c r="Z202" s="88" t="s">
        <v>145</v>
      </c>
      <c r="AA202" s="78">
        <f>_xll.HumidairTdbRHPsi(H202,I202,M202,Z202)</f>
        <v>8.1657907627555701</v>
      </c>
      <c r="AB202" s="81">
        <f t="shared" si="185"/>
        <v>45.16579076275557</v>
      </c>
      <c r="AC202" s="80">
        <v>45.16579076275557</v>
      </c>
      <c r="AE202" s="10" t="s">
        <v>146</v>
      </c>
      <c r="AF202" s="78">
        <f>_xll.HumidairTdbRHPsi(H202,I202,M202,AE202)</f>
        <v>8.6379402909869771E-4</v>
      </c>
      <c r="AG202" s="81">
        <f t="shared" si="186"/>
        <v>37.000863794029101</v>
      </c>
      <c r="AH202" s="80">
        <v>37.000863794029101</v>
      </c>
      <c r="AJ202" s="10" t="s">
        <v>150</v>
      </c>
      <c r="AK202" s="84">
        <f>_xll.HumidairTdbRHPsi(H202,I202,M202,AJ202)</f>
        <v>0.77577545901376832</v>
      </c>
      <c r="AL202" s="58">
        <v>0.77577545901376832</v>
      </c>
      <c r="AN202" s="49">
        <f t="shared" si="176"/>
        <v>0.54758614910353565</v>
      </c>
      <c r="AO202" s="81">
        <f t="shared" si="187"/>
        <v>5.9645332373152185</v>
      </c>
      <c r="AP202" s="81">
        <f t="shared" si="177"/>
        <v>14.569783690700513</v>
      </c>
      <c r="AR202" s="58">
        <v>0.54758614910353565</v>
      </c>
      <c r="AS202" s="155">
        <v>5.9645332373152185</v>
      </c>
      <c r="AT202" s="155">
        <v>14.569783690700513</v>
      </c>
      <c r="AU202" s="140"/>
      <c r="AV202" s="49">
        <f t="shared" si="178"/>
        <v>8.7413850896464362E-2</v>
      </c>
      <c r="AW202" s="162">
        <f t="shared" si="179"/>
        <v>8.7413850896464357E-5</v>
      </c>
      <c r="AX202" s="10">
        <f t="shared" si="180"/>
        <v>37</v>
      </c>
      <c r="AY202" s="55">
        <f t="shared" si="181"/>
        <v>2.6941822984799281E-3</v>
      </c>
      <c r="AZ202" s="55">
        <f t="shared" si="182"/>
        <v>1.5820213144333106E-3</v>
      </c>
      <c r="BB202" s="58">
        <v>8.7413850896464362E-2</v>
      </c>
      <c r="BC202" s="167">
        <v>8.7413850896464357E-5</v>
      </c>
      <c r="BD202" s="168">
        <v>37</v>
      </c>
      <c r="BE202" s="170">
        <v>2.6941822984799281E-3</v>
      </c>
      <c r="BF202" s="171">
        <v>1.5820213144333106E-3</v>
      </c>
      <c r="BH202" s="81">
        <f t="shared" si="188"/>
        <v>360.45828397681555</v>
      </c>
      <c r="BI202" s="80">
        <v>360.45828397681555</v>
      </c>
      <c r="BK202" s="81">
        <f t="shared" si="189"/>
        <v>45.16579076275557</v>
      </c>
      <c r="BL202" s="81">
        <f t="shared" si="190"/>
        <v>37.000863794029101</v>
      </c>
      <c r="BM202" s="81">
        <f t="shared" si="191"/>
        <v>8.1649269687264692</v>
      </c>
      <c r="BN202" s="192">
        <f t="shared" si="192"/>
        <v>0.18077679657187354</v>
      </c>
      <c r="BO202" s="81">
        <f t="shared" si="193"/>
        <v>37</v>
      </c>
      <c r="BP202" s="49">
        <f t="shared" si="194"/>
        <v>6.6887414731593209</v>
      </c>
      <c r="BQ202" s="82">
        <f t="shared" si="195"/>
        <v>4227.971780238162</v>
      </c>
      <c r="BS202" s="193">
        <v>4227.971780238162</v>
      </c>
    </row>
    <row r="203" spans="1:71" x14ac:dyDescent="0.25">
      <c r="A203">
        <v>5</v>
      </c>
      <c r="C203" s="9" t="s">
        <v>26</v>
      </c>
      <c r="D203" s="10" t="s">
        <v>27</v>
      </c>
      <c r="E203" s="11" t="s">
        <v>28</v>
      </c>
      <c r="F203" s="33">
        <v>44491</v>
      </c>
      <c r="G203" s="29">
        <v>9.930555555555555E-2</v>
      </c>
      <c r="H203" s="28">
        <v>10</v>
      </c>
      <c r="I203" s="28">
        <v>34</v>
      </c>
      <c r="J203" s="28" t="s">
        <v>88</v>
      </c>
      <c r="K203" s="10">
        <v>356</v>
      </c>
      <c r="L203" s="47">
        <f t="shared" si="183"/>
        <v>97120.766933102874</v>
      </c>
      <c r="M203" s="10">
        <f t="shared" si="175"/>
        <v>0.97120766933102876</v>
      </c>
      <c r="N203" s="10" t="s">
        <v>15</v>
      </c>
      <c r="O203" s="10">
        <f>_xll.HumidairTdbRHPsi(H203,I203,M203,N203)</f>
        <v>2.6956830685790408E-3</v>
      </c>
      <c r="P203" s="49">
        <f t="shared" si="184"/>
        <v>2.6956830685790409</v>
      </c>
      <c r="Q203" s="31"/>
      <c r="R203" s="58">
        <v>2.6956830685790409</v>
      </c>
      <c r="S203" s="4"/>
      <c r="T203" s="10">
        <v>5</v>
      </c>
      <c r="U203" s="10" t="s">
        <v>144</v>
      </c>
      <c r="V203" s="78">
        <f>_xll.HumidairTdbRHPsi(H203, I203,M203,U203)</f>
        <v>-4.5503891827467555</v>
      </c>
      <c r="W203" s="79">
        <v>-4.5503891827467555</v>
      </c>
      <c r="X203" s="4"/>
      <c r="Y203" s="16">
        <v>5</v>
      </c>
      <c r="Z203" s="88" t="s">
        <v>145</v>
      </c>
      <c r="AA203" s="78">
        <f>_xll.HumidairTdbRHPsi(H203,I203,M203,Z203)</f>
        <v>16.859666727168737</v>
      </c>
      <c r="AB203" s="81">
        <f t="shared" si="185"/>
        <v>53.859666727168737</v>
      </c>
      <c r="AC203" s="80">
        <v>53.859666727168737</v>
      </c>
      <c r="AE203" s="10" t="s">
        <v>146</v>
      </c>
      <c r="AF203" s="78">
        <f>_xll.HumidairTdbRHPsi(H203,I203,M203,AE203)</f>
        <v>10.069987609054467</v>
      </c>
      <c r="AG203" s="81">
        <f t="shared" si="186"/>
        <v>47.069987609054465</v>
      </c>
      <c r="AH203" s="80">
        <v>47.069987609054465</v>
      </c>
      <c r="AJ203" s="10" t="s">
        <v>150</v>
      </c>
      <c r="AK203" s="84">
        <f>_xll.HumidairTdbRHPsi(H203,I203,M203,AJ203)</f>
        <v>0.83652182463127867</v>
      </c>
      <c r="AL203" s="58">
        <v>0.83652182463127867</v>
      </c>
      <c r="AN203" s="49">
        <f t="shared" si="176"/>
        <v>0.50782165349675334</v>
      </c>
      <c r="AO203" s="81">
        <f t="shared" si="187"/>
        <v>5.3083263583132645</v>
      </c>
      <c r="AP203" s="81">
        <f t="shared" si="177"/>
        <v>12.966843124690405</v>
      </c>
      <c r="AR203" s="58">
        <v>0.50782165349675334</v>
      </c>
      <c r="AS203" s="155">
        <v>5.3083263583132645</v>
      </c>
      <c r="AT203" s="155">
        <v>12.966843124690405</v>
      </c>
      <c r="AU203" s="140"/>
      <c r="AV203" s="49">
        <f t="shared" si="178"/>
        <v>0.12717834650324666</v>
      </c>
      <c r="AW203" s="162">
        <f t="shared" si="179"/>
        <v>1.2717834650324668E-4</v>
      </c>
      <c r="AX203" s="10">
        <f t="shared" si="180"/>
        <v>47</v>
      </c>
      <c r="AY203" s="55">
        <f t="shared" si="181"/>
        <v>4.97915944394861E-3</v>
      </c>
      <c r="AZ203" s="55">
        <f t="shared" si="182"/>
        <v>2.9237577474742278E-3</v>
      </c>
      <c r="BB203" s="58">
        <v>0.12717834650324666</v>
      </c>
      <c r="BC203" s="167">
        <v>1.2717834650324668E-4</v>
      </c>
      <c r="BD203" s="168">
        <v>47</v>
      </c>
      <c r="BE203" s="170">
        <v>4.97915944394861E-3</v>
      </c>
      <c r="BF203" s="171">
        <v>2.9237577474742278E-3</v>
      </c>
      <c r="BH203" s="81">
        <f t="shared" si="188"/>
        <v>334.2826002545558</v>
      </c>
      <c r="BI203" s="80">
        <v>334.2826002545558</v>
      </c>
      <c r="BK203" s="81">
        <f t="shared" si="189"/>
        <v>53.859666727168737</v>
      </c>
      <c r="BL203" s="81">
        <f t="shared" si="190"/>
        <v>47.069987609054465</v>
      </c>
      <c r="BM203" s="81">
        <f t="shared" si="191"/>
        <v>6.7896791181142717</v>
      </c>
      <c r="BN203" s="192">
        <f t="shared" si="192"/>
        <v>0.12606240496266041</v>
      </c>
      <c r="BO203" s="81">
        <f t="shared" si="193"/>
        <v>47</v>
      </c>
      <c r="BP203" s="49">
        <f t="shared" si="194"/>
        <v>5.9249330332450398</v>
      </c>
      <c r="BQ203" s="82">
        <f t="shared" si="195"/>
        <v>2026.4787800437514</v>
      </c>
      <c r="BS203" s="193">
        <v>2026.4787800437514</v>
      </c>
    </row>
    <row r="204" spans="1:71" x14ac:dyDescent="0.25">
      <c r="A204">
        <v>6</v>
      </c>
      <c r="C204" s="9" t="s">
        <v>29</v>
      </c>
      <c r="D204" s="10" t="s">
        <v>30</v>
      </c>
      <c r="E204" s="11" t="s">
        <v>31</v>
      </c>
      <c r="F204" s="33">
        <v>44490</v>
      </c>
      <c r="G204" s="34">
        <v>0.47638888888888892</v>
      </c>
      <c r="H204" s="28">
        <v>16</v>
      </c>
      <c r="I204" s="28">
        <v>61</v>
      </c>
      <c r="J204" s="28" t="s">
        <v>127</v>
      </c>
      <c r="K204" s="10">
        <v>2</v>
      </c>
      <c r="L204" s="47">
        <f t="shared" si="183"/>
        <v>101300.97600813</v>
      </c>
      <c r="M204" s="10">
        <f t="shared" si="175"/>
        <v>1.0130097600812999</v>
      </c>
      <c r="N204" s="10" t="s">
        <v>15</v>
      </c>
      <c r="O204" s="10">
        <f>_xll.HumidairTdbRHPsi(H204,I204,M204,N204)</f>
        <v>6.9139750712179345E-3</v>
      </c>
      <c r="P204" s="49">
        <f t="shared" si="184"/>
        <v>6.9139750712179344</v>
      </c>
      <c r="Q204" s="31"/>
      <c r="R204" s="58">
        <v>6.9139750712179344</v>
      </c>
      <c r="S204" s="4"/>
      <c r="T204" s="10">
        <v>6</v>
      </c>
      <c r="U204" s="10" t="s">
        <v>144</v>
      </c>
      <c r="V204" s="78">
        <f>_xll.HumidairTdbRHPsi(H204, I204,M204,U204)</f>
        <v>8.4922118255280452</v>
      </c>
      <c r="W204" s="79">
        <v>8.4922118255280452</v>
      </c>
      <c r="X204" s="4"/>
      <c r="Y204" s="16">
        <v>6</v>
      </c>
      <c r="Z204" s="88" t="s">
        <v>145</v>
      </c>
      <c r="AA204" s="78">
        <f>_xll.HumidairTdbRHPsi(H204,I204,M204,Z204)</f>
        <v>33.585248350716427</v>
      </c>
      <c r="AB204" s="81">
        <f t="shared" si="185"/>
        <v>70.585248350716427</v>
      </c>
      <c r="AC204" s="80">
        <v>70.585248350716427</v>
      </c>
      <c r="AE204" s="10" t="s">
        <v>146</v>
      </c>
      <c r="AF204" s="78">
        <f>_xll.HumidairTdbRHPsi(H204,I204,M204,AE204)</f>
        <v>16.095754500899975</v>
      </c>
      <c r="AG204" s="81">
        <f t="shared" si="186"/>
        <v>53.095754500899972</v>
      </c>
      <c r="AH204" s="80">
        <v>53.095754500899972</v>
      </c>
      <c r="AJ204" s="10" t="s">
        <v>150</v>
      </c>
      <c r="AK204" s="84">
        <f>_xll.HumidairTdbRHPsi(H204,I204,M204,AJ204)</f>
        <v>0.81903491822829566</v>
      </c>
      <c r="AL204" s="58">
        <v>0.81903491822829566</v>
      </c>
      <c r="AN204" s="49">
        <f t="shared" si="176"/>
        <v>0.51866396256864888</v>
      </c>
      <c r="AO204" s="81">
        <f t="shared" si="187"/>
        <v>13.330355625590279</v>
      </c>
      <c r="AP204" s="81">
        <f t="shared" si="177"/>
        <v>32.562547689379024</v>
      </c>
      <c r="AR204" s="58">
        <v>0.51866396256864888</v>
      </c>
      <c r="AS204" s="155">
        <v>13.330355625590279</v>
      </c>
      <c r="AT204" s="155">
        <v>32.562547689379024</v>
      </c>
      <c r="AU204" s="140"/>
      <c r="AV204" s="49">
        <f t="shared" si="178"/>
        <v>0.11633603743135112</v>
      </c>
      <c r="AW204" s="162">
        <f t="shared" si="179"/>
        <v>1.1633603743135113E-4</v>
      </c>
      <c r="AX204" s="10">
        <f t="shared" si="180"/>
        <v>53</v>
      </c>
      <c r="AY204" s="55">
        <f t="shared" si="181"/>
        <v>5.1361197165567208E-3</v>
      </c>
      <c r="AZ204" s="55">
        <f t="shared" si="182"/>
        <v>3.015924672082631E-3</v>
      </c>
      <c r="BB204" s="58">
        <v>0.11633603743135112</v>
      </c>
      <c r="BC204" s="167">
        <v>1.1633603743135113E-4</v>
      </c>
      <c r="BD204" s="168">
        <v>53</v>
      </c>
      <c r="BE204" s="170">
        <v>5.1361197165567208E-3</v>
      </c>
      <c r="BF204" s="171">
        <v>3.015924672082631E-3</v>
      </c>
      <c r="BH204" s="81">
        <f t="shared" si="188"/>
        <v>341.41974228928382</v>
      </c>
      <c r="BI204" s="80">
        <v>341.41974228928382</v>
      </c>
      <c r="BK204" s="81">
        <f t="shared" si="189"/>
        <v>70.585248350716427</v>
      </c>
      <c r="BL204" s="81">
        <f t="shared" si="190"/>
        <v>53.095754500899972</v>
      </c>
      <c r="BM204" s="81">
        <f t="shared" si="191"/>
        <v>17.489493849816455</v>
      </c>
      <c r="BN204" s="192">
        <f t="shared" si="192"/>
        <v>0.24777831428624478</v>
      </c>
      <c r="BO204" s="81">
        <f t="shared" si="193"/>
        <v>53</v>
      </c>
      <c r="BP204" s="49">
        <f t="shared" si="194"/>
        <v>13.132250657170973</v>
      </c>
      <c r="BQ204" s="82">
        <f t="shared" si="195"/>
        <v>4354.3032684906439</v>
      </c>
      <c r="BS204" s="193">
        <v>4354.3032684906439</v>
      </c>
    </row>
    <row r="205" spans="1:71" x14ac:dyDescent="0.25">
      <c r="A205">
        <v>7</v>
      </c>
      <c r="B205" s="1" t="s">
        <v>32</v>
      </c>
      <c r="C205" s="9" t="s">
        <v>33</v>
      </c>
      <c r="D205" s="10" t="s">
        <v>34</v>
      </c>
      <c r="E205" s="11" t="s">
        <v>35</v>
      </c>
      <c r="F205" s="33">
        <v>44490</v>
      </c>
      <c r="G205" s="29">
        <v>0.85763888888888884</v>
      </c>
      <c r="H205" s="28">
        <v>14</v>
      </c>
      <c r="I205" s="28">
        <v>97</v>
      </c>
      <c r="J205" s="28" t="s">
        <v>85</v>
      </c>
      <c r="K205" s="10">
        <v>126</v>
      </c>
      <c r="L205" s="47">
        <f t="shared" si="183"/>
        <v>99820.46987859541</v>
      </c>
      <c r="M205" s="10">
        <f t="shared" si="175"/>
        <v>0.99820469878595408</v>
      </c>
      <c r="N205" s="10" t="s">
        <v>15</v>
      </c>
      <c r="O205" s="10">
        <f>_xll.HumidairTdbRHPsi(H205,I205,M205,N205)</f>
        <v>9.8541190840600954E-3</v>
      </c>
      <c r="P205" s="49">
        <f t="shared" si="184"/>
        <v>9.8541190840600947</v>
      </c>
      <c r="Q205" s="31"/>
      <c r="R205" s="58">
        <v>9.8541190840600947</v>
      </c>
      <c r="S205" s="4"/>
      <c r="T205" s="10">
        <v>7</v>
      </c>
      <c r="U205" s="10" t="s">
        <v>144</v>
      </c>
      <c r="V205" s="78">
        <f>_xll.HumidairTdbRHPsi(H205, I205,M205,U205)</f>
        <v>13.53170137274418</v>
      </c>
      <c r="W205" s="79">
        <v>13.53170137274418</v>
      </c>
      <c r="X205" s="4"/>
      <c r="Y205" s="16">
        <v>7</v>
      </c>
      <c r="Z205" s="88" t="s">
        <v>145</v>
      </c>
      <c r="AA205" s="78">
        <f>_xll.HumidairTdbRHPsi(H205,I205,M205,Z205)</f>
        <v>38.974973252367029</v>
      </c>
      <c r="AB205" s="81">
        <f t="shared" si="185"/>
        <v>75.974973252367022</v>
      </c>
      <c r="AC205" s="80">
        <v>75.974973252367022</v>
      </c>
      <c r="AE205" s="10" t="s">
        <v>146</v>
      </c>
      <c r="AF205" s="78">
        <f>_xll.HumidairTdbRHPsi(H205,I205,M205,AE205)</f>
        <v>14.087178935387083</v>
      </c>
      <c r="AG205" s="81">
        <f t="shared" si="186"/>
        <v>51.087178935387087</v>
      </c>
      <c r="AH205" s="80">
        <v>51.087178935387087</v>
      </c>
      <c r="AJ205" s="10" t="s">
        <v>150</v>
      </c>
      <c r="AK205" s="84">
        <f>_xll.HumidairTdbRHPsi(H205,I205,M205,AJ205)</f>
        <v>0.82542105709077629</v>
      </c>
      <c r="AL205" s="58">
        <v>0.82542105709077629</v>
      </c>
      <c r="AN205" s="49">
        <f t="shared" si="176"/>
        <v>0.51465114988417238</v>
      </c>
      <c r="AO205" s="81">
        <f t="shared" si="187"/>
        <v>19.147181709936657</v>
      </c>
      <c r="AP205" s="81">
        <f t="shared" si="177"/>
        <v>46.771521710202684</v>
      </c>
      <c r="AR205" s="58">
        <v>0.51465114988417238</v>
      </c>
      <c r="AS205" s="155">
        <v>19.147181709936657</v>
      </c>
      <c r="AT205" s="155">
        <v>46.771521710202684</v>
      </c>
      <c r="AU205" s="140"/>
      <c r="AV205" s="49">
        <f t="shared" si="178"/>
        <v>0.12034885011582763</v>
      </c>
      <c r="AW205" s="162">
        <f t="shared" si="179"/>
        <v>1.2034885011582763E-4</v>
      </c>
      <c r="AX205" s="10">
        <f t="shared" si="180"/>
        <v>51</v>
      </c>
      <c r="AY205" s="55">
        <f t="shared" si="181"/>
        <v>5.1127801994707046E-3</v>
      </c>
      <c r="AZ205" s="55">
        <f t="shared" si="182"/>
        <v>3.0022197295776305E-3</v>
      </c>
      <c r="BB205" s="58">
        <v>0.12034885011582763</v>
      </c>
      <c r="BC205" s="167">
        <v>1.2034885011582763E-4</v>
      </c>
      <c r="BD205" s="168">
        <v>51</v>
      </c>
      <c r="BE205" s="170">
        <v>5.1127801994707046E-3</v>
      </c>
      <c r="BF205" s="171">
        <v>3.0022197295776305E-3</v>
      </c>
      <c r="BH205" s="81">
        <f t="shared" si="188"/>
        <v>338.77823724658907</v>
      </c>
      <c r="BI205" s="80">
        <v>338.77823724658907</v>
      </c>
      <c r="BK205" s="81">
        <f t="shared" si="189"/>
        <v>75.974973252367022</v>
      </c>
      <c r="BL205" s="81">
        <f t="shared" si="190"/>
        <v>51.087178935387087</v>
      </c>
      <c r="BM205" s="81">
        <f t="shared" si="191"/>
        <v>24.887794316979935</v>
      </c>
      <c r="BN205" s="192">
        <f t="shared" si="192"/>
        <v>0.32757884934437342</v>
      </c>
      <c r="BO205" s="81">
        <f t="shared" si="193"/>
        <v>51</v>
      </c>
      <c r="BP205" s="49">
        <f t="shared" si="194"/>
        <v>16.706521316563045</v>
      </c>
      <c r="BQ205" s="82">
        <f t="shared" si="195"/>
        <v>5564.723045409276</v>
      </c>
      <c r="BS205" s="193">
        <v>5564.723045409276</v>
      </c>
    </row>
    <row r="206" spans="1:71" x14ac:dyDescent="0.25">
      <c r="A206">
        <v>8</v>
      </c>
      <c r="C206" s="9" t="s">
        <v>36</v>
      </c>
      <c r="D206" s="10" t="s">
        <v>37</v>
      </c>
      <c r="E206" s="11" t="s">
        <v>38</v>
      </c>
      <c r="F206" s="33">
        <v>44491</v>
      </c>
      <c r="G206" s="29">
        <v>0.10694444444444444</v>
      </c>
      <c r="H206" s="28">
        <v>-1</v>
      </c>
      <c r="I206" s="28">
        <v>85</v>
      </c>
      <c r="J206" s="28" t="s">
        <v>88</v>
      </c>
      <c r="K206" s="10">
        <v>143</v>
      </c>
      <c r="L206" s="47">
        <f t="shared" si="183"/>
        <v>99618.87034335341</v>
      </c>
      <c r="M206" s="10">
        <f t="shared" si="175"/>
        <v>0.99618870343353405</v>
      </c>
      <c r="N206" s="10" t="s">
        <v>15</v>
      </c>
      <c r="O206" s="10">
        <f>_xll.HumidairTdbRHPsi(H206,I206,M206,N206)</f>
        <v>3.0125173053133342E-3</v>
      </c>
      <c r="P206" s="49">
        <f t="shared" si="184"/>
        <v>3.0125173053133341</v>
      </c>
      <c r="Q206" s="31"/>
      <c r="R206" s="58">
        <v>3.0125173053133341</v>
      </c>
      <c r="S206" s="4"/>
      <c r="T206" s="10">
        <v>8</v>
      </c>
      <c r="U206" s="10" t="s">
        <v>144</v>
      </c>
      <c r="V206" s="78">
        <f>_xll.HumidairTdbRHPsi(H206, I206,M206,U206)</f>
        <v>-2.9450254529300537</v>
      </c>
      <c r="W206" s="79">
        <v>-2.9450254529300537</v>
      </c>
      <c r="X206" s="4"/>
      <c r="Y206" s="16">
        <v>8</v>
      </c>
      <c r="Z206" s="88" t="s">
        <v>145</v>
      </c>
      <c r="AA206" s="78">
        <f>_xll.HumidairTdbRHPsi(H206,I206,M206,Z206)</f>
        <v>6.5244395848458367</v>
      </c>
      <c r="AB206" s="81">
        <f t="shared" si="185"/>
        <v>43.524439584845837</v>
      </c>
      <c r="AC206" s="80">
        <v>43.524439584845837</v>
      </c>
      <c r="AE206" s="10" t="s">
        <v>146</v>
      </c>
      <c r="AF206" s="78">
        <f>_xll.HumidairTdbRHPsi(H206,I206,M206,AE206)</f>
        <v>-1.0010604307445368</v>
      </c>
      <c r="AG206" s="81">
        <f t="shared" si="186"/>
        <v>35.998939569255462</v>
      </c>
      <c r="AH206" s="80">
        <v>35.998939569255462</v>
      </c>
      <c r="AJ206" s="10" t="s">
        <v>150</v>
      </c>
      <c r="AK206" s="84">
        <f>_xll.HumidairTdbRHPsi(H206,I206,M206,AJ206)</f>
        <v>0.78374876352332901</v>
      </c>
      <c r="AL206" s="58">
        <v>0.78374876352332901</v>
      </c>
      <c r="AN206" s="49">
        <f t="shared" si="176"/>
        <v>0.54201539567434665</v>
      </c>
      <c r="AO206" s="81">
        <f t="shared" si="187"/>
        <v>5.5579921333513429</v>
      </c>
      <c r="AP206" s="81">
        <f t="shared" si="177"/>
        <v>13.57671085323596</v>
      </c>
      <c r="AR206" s="58">
        <v>0.54201539567434665</v>
      </c>
      <c r="AS206" s="155">
        <v>5.5579921333513429</v>
      </c>
      <c r="AT206" s="155">
        <v>13.57671085323596</v>
      </c>
      <c r="AU206" s="140"/>
      <c r="AV206" s="49">
        <f t="shared" si="178"/>
        <v>9.2984604325653364E-2</v>
      </c>
      <c r="AW206" s="162">
        <f t="shared" si="179"/>
        <v>9.2984604325653365E-5</v>
      </c>
      <c r="AX206" s="10">
        <f t="shared" si="180"/>
        <v>36</v>
      </c>
      <c r="AY206" s="55">
        <f t="shared" si="181"/>
        <v>2.7884223145176932E-3</v>
      </c>
      <c r="AZ206" s="55">
        <f t="shared" si="182"/>
        <v>1.6373589633104481E-3</v>
      </c>
      <c r="BB206" s="58">
        <v>9.2984604325653364E-2</v>
      </c>
      <c r="BC206" s="167">
        <v>9.2984604325653365E-5</v>
      </c>
      <c r="BD206" s="168">
        <v>36</v>
      </c>
      <c r="BE206" s="170">
        <v>2.7884223145176932E-3</v>
      </c>
      <c r="BF206" s="171">
        <v>1.6373589633104481E-3</v>
      </c>
      <c r="BH206" s="81">
        <f t="shared" si="188"/>
        <v>356.79123683760139</v>
      </c>
      <c r="BI206" s="80">
        <v>356.79123683760139</v>
      </c>
      <c r="BK206" s="81">
        <f t="shared" si="189"/>
        <v>43.524439584845837</v>
      </c>
      <c r="BL206" s="81">
        <f t="shared" si="190"/>
        <v>35.998939569255462</v>
      </c>
      <c r="BM206" s="81">
        <f t="shared" si="191"/>
        <v>7.5255000155903744</v>
      </c>
      <c r="BN206" s="192">
        <f t="shared" si="192"/>
        <v>0.17290285842555853</v>
      </c>
      <c r="BO206" s="81">
        <f t="shared" si="193"/>
        <v>36</v>
      </c>
      <c r="BP206" s="49">
        <f t="shared" si="194"/>
        <v>6.2245029033201069</v>
      </c>
      <c r="BQ206" s="82">
        <f t="shared" si="195"/>
        <v>3801.5505718643826</v>
      </c>
      <c r="BS206" s="193">
        <v>3801.5505718643826</v>
      </c>
    </row>
    <row r="207" spans="1:71" x14ac:dyDescent="0.25">
      <c r="A207">
        <v>9</v>
      </c>
      <c r="C207" s="68" t="s">
        <v>39</v>
      </c>
      <c r="D207" s="10" t="s">
        <v>40</v>
      </c>
      <c r="E207" s="11" t="s">
        <v>41</v>
      </c>
      <c r="F207" s="33">
        <v>44490</v>
      </c>
      <c r="G207" s="29">
        <v>0.59861111111111109</v>
      </c>
      <c r="H207" s="28">
        <v>10</v>
      </c>
      <c r="I207" s="28">
        <v>94</v>
      </c>
      <c r="J207" s="28" t="s">
        <v>85</v>
      </c>
      <c r="K207" s="10">
        <v>62</v>
      </c>
      <c r="L207" s="47">
        <f t="shared" si="183"/>
        <v>100582.39802554256</v>
      </c>
      <c r="M207" s="10">
        <f t="shared" si="175"/>
        <v>1.0058239802554256</v>
      </c>
      <c r="N207" s="10" t="s">
        <v>15</v>
      </c>
      <c r="O207" s="10">
        <f>_xll.HumidairTdbRHPsi(H207,I207,M207,N207)</f>
        <v>7.2495308359470162E-3</v>
      </c>
      <c r="P207" s="49">
        <f t="shared" si="184"/>
        <v>7.2495308359470165</v>
      </c>
      <c r="Q207" s="31"/>
      <c r="R207" s="58">
        <v>7.2495308359470165</v>
      </c>
      <c r="S207" s="4"/>
      <c r="T207" s="10">
        <v>9</v>
      </c>
      <c r="U207" s="10" t="s">
        <v>144</v>
      </c>
      <c r="V207" s="78">
        <f>_xll.HumidairTdbRHPsi(H207, I207,M207,U207)</f>
        <v>9.0799330487972156</v>
      </c>
      <c r="W207" s="79">
        <v>9.0799330487972156</v>
      </c>
      <c r="X207" s="4"/>
      <c r="Y207" s="16">
        <v>9</v>
      </c>
      <c r="Z207" s="88" t="s">
        <v>145</v>
      </c>
      <c r="AA207" s="78">
        <f>_xll.HumidairTdbRHPsi(H207,I207,M207,Z207)</f>
        <v>28.317541293177474</v>
      </c>
      <c r="AB207" s="81">
        <f t="shared" si="185"/>
        <v>65.31754129317747</v>
      </c>
      <c r="AC207" s="80">
        <v>65.31754129317747</v>
      </c>
      <c r="AE207" s="10" t="s">
        <v>146</v>
      </c>
      <c r="AF207" s="78">
        <f>_xll.HumidairTdbRHPsi(H207,I207,M207,AE207)</f>
        <v>10.061080003862003</v>
      </c>
      <c r="AG207" s="81">
        <f t="shared" si="186"/>
        <v>47.061080003862003</v>
      </c>
      <c r="AH207" s="80">
        <v>47.061080003862003</v>
      </c>
      <c r="AJ207" s="10" t="s">
        <v>150</v>
      </c>
      <c r="AK207" s="84">
        <f>_xll.HumidairTdbRHPsi(H207,I207,M207,AJ207)</f>
        <v>0.80771949030695123</v>
      </c>
      <c r="AL207" s="58">
        <v>0.80771949030695123</v>
      </c>
      <c r="AN207" s="49">
        <f t="shared" si="176"/>
        <v>0.52592998097513066</v>
      </c>
      <c r="AO207" s="81">
        <f t="shared" si="187"/>
        <v>13.784212914627167</v>
      </c>
      <c r="AP207" s="81">
        <f t="shared" si="177"/>
        <v>33.671201504290401</v>
      </c>
      <c r="AR207" s="58">
        <v>0.52592998097513066</v>
      </c>
      <c r="AS207" s="155">
        <v>13.784212914627167</v>
      </c>
      <c r="AT207" s="155">
        <v>33.671201504290401</v>
      </c>
      <c r="AU207" s="140"/>
      <c r="AV207" s="49">
        <f t="shared" si="178"/>
        <v>0.10907001902486935</v>
      </c>
      <c r="AW207" s="162">
        <f t="shared" si="179"/>
        <v>1.0907001902486935E-4</v>
      </c>
      <c r="AX207" s="10">
        <f t="shared" si="180"/>
        <v>47</v>
      </c>
      <c r="AY207" s="55">
        <f t="shared" si="181"/>
        <v>4.2702003148426598E-3</v>
      </c>
      <c r="AZ207" s="55">
        <f t="shared" si="182"/>
        <v>2.5074576129434289E-3</v>
      </c>
      <c r="BB207" s="58">
        <v>0.10907001902486935</v>
      </c>
      <c r="BC207" s="167">
        <v>1.0907001902486935E-4</v>
      </c>
      <c r="BD207" s="168">
        <v>47</v>
      </c>
      <c r="BE207" s="170">
        <v>4.2702003148426598E-3</v>
      </c>
      <c r="BF207" s="171">
        <v>2.5074576129434289E-3</v>
      </c>
      <c r="BH207" s="81">
        <f t="shared" si="188"/>
        <v>346.20272763402301</v>
      </c>
      <c r="BI207" s="80">
        <v>346.20272763402301</v>
      </c>
      <c r="BK207" s="81">
        <f t="shared" si="189"/>
        <v>65.31754129317747</v>
      </c>
      <c r="BL207" s="81">
        <f t="shared" si="190"/>
        <v>47.061080003862003</v>
      </c>
      <c r="BM207" s="81">
        <f t="shared" si="191"/>
        <v>18.256461289315467</v>
      </c>
      <c r="BN207" s="192">
        <f t="shared" si="192"/>
        <v>0.27950319206553459</v>
      </c>
      <c r="BO207" s="81">
        <f t="shared" si="193"/>
        <v>47</v>
      </c>
      <c r="BP207" s="49">
        <f t="shared" si="194"/>
        <v>13.136650027080126</v>
      </c>
      <c r="BQ207" s="82">
        <f t="shared" si="195"/>
        <v>5239.0317424586128</v>
      </c>
      <c r="BS207" s="193">
        <v>5239.0317424586128</v>
      </c>
    </row>
    <row r="208" spans="1:71" x14ac:dyDescent="0.25">
      <c r="A208" s="5">
        <v>10</v>
      </c>
      <c r="B208" s="14"/>
      <c r="C208" s="12" t="s">
        <v>42</v>
      </c>
      <c r="D208" s="13" t="s">
        <v>43</v>
      </c>
      <c r="E208" s="8" t="s">
        <v>44</v>
      </c>
      <c r="F208" s="33">
        <v>44490</v>
      </c>
      <c r="G208" s="29">
        <v>0.56041666666666667</v>
      </c>
      <c r="H208" s="28">
        <v>8</v>
      </c>
      <c r="I208" s="28">
        <v>57</v>
      </c>
      <c r="J208" s="28" t="s">
        <v>86</v>
      </c>
      <c r="K208" s="10">
        <v>255</v>
      </c>
      <c r="L208" s="47">
        <f t="shared" si="183"/>
        <v>98298.910193542106</v>
      </c>
      <c r="M208" s="10">
        <f t="shared" si="175"/>
        <v>0.98298910193542111</v>
      </c>
      <c r="N208" s="10" t="s">
        <v>15</v>
      </c>
      <c r="O208" s="10">
        <f>_xll.HumidairTdbRHPsi(H208,I208,M208,N208)</f>
        <v>3.9085931073245582E-3</v>
      </c>
      <c r="P208" s="49">
        <f t="shared" si="184"/>
        <v>3.9085931073245583</v>
      </c>
      <c r="Q208" s="31"/>
      <c r="R208" s="58">
        <v>3.9085931073245583</v>
      </c>
      <c r="S208" s="4"/>
      <c r="T208" s="10">
        <v>10</v>
      </c>
      <c r="U208" s="10" t="s">
        <v>144</v>
      </c>
      <c r="V208" s="78">
        <f>_xll.HumidairTdbRHPsi(H208, I208,M208,U208)</f>
        <v>7.1474790967158697E-3</v>
      </c>
      <c r="W208" s="79">
        <v>7.1474790967158697E-3</v>
      </c>
      <c r="X208" s="4"/>
      <c r="Y208" s="16">
        <v>10</v>
      </c>
      <c r="Z208" s="88" t="s">
        <v>145</v>
      </c>
      <c r="AA208" s="78">
        <f>_xll.HumidairTdbRHPsi(H208,I208,M208,Z208)</f>
        <v>17.884655014554784</v>
      </c>
      <c r="AB208" s="81">
        <f t="shared" si="185"/>
        <v>54.884655014554781</v>
      </c>
      <c r="AC208" s="80">
        <v>54.884655014554781</v>
      </c>
      <c r="AE208" s="10" t="s">
        <v>146</v>
      </c>
      <c r="AF208" s="78">
        <f>_xll.HumidairTdbRHPsi(H208,I208,M208,AE208)</f>
        <v>8.0550839131600522</v>
      </c>
      <c r="AG208" s="81">
        <f t="shared" si="186"/>
        <v>45.055083913160054</v>
      </c>
      <c r="AH208" s="80">
        <v>45.055083913160054</v>
      </c>
      <c r="AJ208" s="10" t="s">
        <v>150</v>
      </c>
      <c r="AK208" s="84">
        <f>_xll.HumidairTdbRHPsi(H208,I208,M208,AJ208)</f>
        <v>0.82063527835145289</v>
      </c>
      <c r="AL208" s="58">
        <v>0.82063527835145289</v>
      </c>
      <c r="AN208" s="49">
        <f t="shared" si="176"/>
        <v>0.51765249115752332</v>
      </c>
      <c r="AO208" s="81">
        <f t="shared" si="187"/>
        <v>7.5506119918104693</v>
      </c>
      <c r="AP208" s="81">
        <f t="shared" si="177"/>
        <v>18.444156328082833</v>
      </c>
      <c r="AR208" s="58">
        <v>0.51765249115752332</v>
      </c>
      <c r="AS208" s="155">
        <v>7.5506119918104693</v>
      </c>
      <c r="AT208" s="155">
        <v>18.444156328082833</v>
      </c>
      <c r="AU208" s="140"/>
      <c r="AV208" s="49">
        <f t="shared" si="178"/>
        <v>0.11734750884247669</v>
      </c>
      <c r="AW208" s="162">
        <f t="shared" si="179"/>
        <v>1.1734750884247669E-4</v>
      </c>
      <c r="AX208" s="10">
        <f t="shared" si="180"/>
        <v>45</v>
      </c>
      <c r="AY208" s="55">
        <f t="shared" si="181"/>
        <v>4.3987713689602383E-3</v>
      </c>
      <c r="AZ208" s="55">
        <f t="shared" si="182"/>
        <v>2.5829544151263878E-3</v>
      </c>
      <c r="BB208" s="58">
        <v>0.11734750884247669</v>
      </c>
      <c r="BC208" s="167">
        <v>1.1734750884247669E-4</v>
      </c>
      <c r="BD208" s="168">
        <v>45</v>
      </c>
      <c r="BE208" s="170">
        <v>4.3987713689602383E-3</v>
      </c>
      <c r="BF208" s="171">
        <v>2.5829544151263878E-3</v>
      </c>
      <c r="BH208" s="81">
        <f t="shared" si="188"/>
        <v>340.75392331314129</v>
      </c>
      <c r="BI208" s="80">
        <v>340.75392331314129</v>
      </c>
      <c r="BK208" s="81">
        <f t="shared" si="189"/>
        <v>54.884655014554781</v>
      </c>
      <c r="BL208" s="81">
        <f t="shared" si="190"/>
        <v>45.055083913160054</v>
      </c>
      <c r="BM208" s="81">
        <f t="shared" si="191"/>
        <v>9.8295711013947269</v>
      </c>
      <c r="BN208" s="192">
        <f t="shared" si="192"/>
        <v>0.17909506944678869</v>
      </c>
      <c r="BO208" s="81">
        <f t="shared" si="193"/>
        <v>45</v>
      </c>
      <c r="BP208" s="49">
        <f t="shared" si="194"/>
        <v>8.0592781251054912</v>
      </c>
      <c r="BQ208" s="82">
        <f t="shared" si="195"/>
        <v>3120.1782261074627</v>
      </c>
      <c r="BS208" s="193">
        <v>3120.1782261074627</v>
      </c>
    </row>
    <row r="209" spans="1:71" x14ac:dyDescent="0.25">
      <c r="A209">
        <v>11</v>
      </c>
      <c r="C209" s="9" t="s">
        <v>77</v>
      </c>
      <c r="D209" s="10" t="s">
        <v>78</v>
      </c>
      <c r="E209" s="11" t="s">
        <v>79</v>
      </c>
      <c r="F209" s="33">
        <v>44490</v>
      </c>
      <c r="G209" s="34">
        <v>0.77222222222222225</v>
      </c>
      <c r="H209" s="28">
        <v>28</v>
      </c>
      <c r="I209" s="28">
        <v>26</v>
      </c>
      <c r="J209" s="28" t="s">
        <v>128</v>
      </c>
      <c r="K209" s="10">
        <v>138</v>
      </c>
      <c r="L209" s="47">
        <f>+((101325*(1-(2.25577*10^-5)*(K209))^5.25588))</f>
        <v>99678.130068961269</v>
      </c>
      <c r="M209" s="10">
        <f t="shared" si="175"/>
        <v>0.99678130068961268</v>
      </c>
      <c r="N209" s="10" t="s">
        <v>15</v>
      </c>
      <c r="O209" s="10">
        <f>_xll.HumidairTdbRHPsi(H209,I209,M209,N209)</f>
        <v>6.2238444296344947E-3</v>
      </c>
      <c r="P209" s="49">
        <f>+O209*1000</f>
        <v>6.2238444296344948</v>
      </c>
      <c r="Q209" s="31"/>
      <c r="R209" s="58">
        <v>6.2238444296344948</v>
      </c>
      <c r="S209" s="4"/>
      <c r="T209" s="10">
        <v>11</v>
      </c>
      <c r="U209" s="10" t="s">
        <v>144</v>
      </c>
      <c r="V209" s="78">
        <f>_xll.HumidairTdbRHPsi(H209, I209,M209,U209)</f>
        <v>6.732810516759173</v>
      </c>
      <c r="W209" s="79">
        <v>6.732810516759173</v>
      </c>
      <c r="X209" s="4"/>
      <c r="Y209" s="16">
        <v>11</v>
      </c>
      <c r="Z209" s="88" t="s">
        <v>145</v>
      </c>
      <c r="AA209" s="78">
        <f>_xll.HumidairTdbRHPsi(H209,I209,M209,Z209)</f>
        <v>44.059920105415699</v>
      </c>
      <c r="AB209" s="81">
        <f t="shared" si="185"/>
        <v>81.059920105415699</v>
      </c>
      <c r="AC209" s="80">
        <v>81.059920105415699</v>
      </c>
      <c r="AE209" s="10" t="s">
        <v>146</v>
      </c>
      <c r="AF209" s="78">
        <f>_xll.HumidairTdbRHPsi(H209,I209,M209,AE209)</f>
        <v>28.175560820631969</v>
      </c>
      <c r="AG209" s="81">
        <f t="shared" si="186"/>
        <v>65.175560820631972</v>
      </c>
      <c r="AH209" s="80">
        <v>65.175560820631972</v>
      </c>
      <c r="AJ209" s="10" t="s">
        <v>150</v>
      </c>
      <c r="AK209" s="84">
        <f>_xll.HumidairTdbRHPsi(H209,I209,M209,AJ209)</f>
        <v>0.86701700017831085</v>
      </c>
      <c r="AL209" s="58">
        <v>0.86701700017831085</v>
      </c>
      <c r="AN209" s="49">
        <f t="shared" si="176"/>
        <v>0.48996028461150348</v>
      </c>
      <c r="AO209" s="81">
        <f t="shared" si="187"/>
        <v>12.702752906941162</v>
      </c>
      <c r="AP209" s="81">
        <f t="shared" si="177"/>
        <v>31.02947955301482</v>
      </c>
      <c r="AR209" s="58">
        <v>0.48996028461150348</v>
      </c>
      <c r="AS209" s="155">
        <v>12.702752906941162</v>
      </c>
      <c r="AT209" s="155">
        <v>31.02947955301482</v>
      </c>
      <c r="AU209" s="140"/>
      <c r="AV209" s="49">
        <f t="shared" si="178"/>
        <v>0.14503971538849653</v>
      </c>
      <c r="AW209" s="162">
        <f t="shared" si="179"/>
        <v>1.4503971538849653E-4</v>
      </c>
      <c r="AX209" s="10">
        <f t="shared" si="180"/>
        <v>65</v>
      </c>
      <c r="AY209" s="55">
        <f t="shared" si="181"/>
        <v>7.8531753897101448E-3</v>
      </c>
      <c r="AZ209" s="55">
        <f t="shared" si="182"/>
        <v>4.6113772106342599E-3</v>
      </c>
      <c r="BB209" s="58">
        <v>0.14503971538849653</v>
      </c>
      <c r="BC209" s="167">
        <v>1.4503971538849653E-4</v>
      </c>
      <c r="BD209" s="168">
        <v>65</v>
      </c>
      <c r="BE209" s="170">
        <v>7.8531753897101448E-3</v>
      </c>
      <c r="BF209" s="171">
        <v>4.6113772106342599E-3</v>
      </c>
      <c r="BH209" s="81">
        <f t="shared" si="188"/>
        <v>322.52503774426526</v>
      </c>
      <c r="BI209" s="80">
        <v>322.52503774426526</v>
      </c>
      <c r="BK209" s="81">
        <f t="shared" si="189"/>
        <v>81.059920105415699</v>
      </c>
      <c r="BL209" s="81">
        <f t="shared" si="190"/>
        <v>65.175560820631972</v>
      </c>
      <c r="BM209" s="81">
        <f t="shared" si="191"/>
        <v>15.884359284783727</v>
      </c>
      <c r="BN209" s="192">
        <f t="shared" si="192"/>
        <v>0.19595824007877941</v>
      </c>
      <c r="BO209" s="81">
        <f t="shared" si="193"/>
        <v>65</v>
      </c>
      <c r="BP209" s="49">
        <f t="shared" si="194"/>
        <v>12.737285605120661</v>
      </c>
      <c r="BQ209" s="82">
        <f t="shared" si="195"/>
        <v>2762.1435036256216</v>
      </c>
      <c r="BS209" s="193">
        <v>2762.1435036256216</v>
      </c>
    </row>
    <row r="210" spans="1:71" x14ac:dyDescent="0.25">
      <c r="A210">
        <v>12</v>
      </c>
      <c r="B210" s="1" t="s">
        <v>48</v>
      </c>
      <c r="C210" s="9" t="s">
        <v>45</v>
      </c>
      <c r="D210" s="10" t="s">
        <v>46</v>
      </c>
      <c r="E210" s="11" t="s">
        <v>47</v>
      </c>
      <c r="F210" s="33">
        <v>44490</v>
      </c>
      <c r="G210" s="29">
        <v>0.81180555555555556</v>
      </c>
      <c r="H210" s="28">
        <v>27</v>
      </c>
      <c r="I210" s="28">
        <v>88</v>
      </c>
      <c r="J210" s="28" t="s">
        <v>87</v>
      </c>
      <c r="K210" s="10">
        <v>30</v>
      </c>
      <c r="L210" s="47">
        <f>+((101325*(1-(2.25577*10^-5)*(K210))^5.25588))</f>
        <v>100965.12412724759</v>
      </c>
      <c r="M210" s="10">
        <f t="shared" si="175"/>
        <v>1.0096512412724759</v>
      </c>
      <c r="N210" s="10" t="s">
        <v>15</v>
      </c>
      <c r="O210" s="10">
        <f>_xll.HumidairTdbRHPsi(H210,I210,M210,N210)</f>
        <v>2.0046876204926897E-2</v>
      </c>
      <c r="P210" s="49">
        <f>+O210*1000</f>
        <v>20.046876204926896</v>
      </c>
      <c r="Q210" s="31"/>
      <c r="R210" s="58">
        <v>20.046876204926896</v>
      </c>
      <c r="S210" s="4"/>
      <c r="T210" s="10">
        <v>12</v>
      </c>
      <c r="U210" s="10" t="s">
        <v>144</v>
      </c>
      <c r="V210" s="78">
        <f>_xll.HumidairTdbRHPsi(H210, I210,M210,U210)</f>
        <v>24.841722175667996</v>
      </c>
      <c r="W210" s="79">
        <v>24.841722175667996</v>
      </c>
      <c r="X210" s="4"/>
      <c r="Y210" s="16">
        <v>12</v>
      </c>
      <c r="Z210" s="88" t="s">
        <v>145</v>
      </c>
      <c r="AA210" s="78">
        <f>_xll.HumidairTdbRHPsi(H210,I210,M210,Z210)</f>
        <v>78.275112955434622</v>
      </c>
      <c r="AB210" s="81">
        <f t="shared" si="185"/>
        <v>115.27511295543462</v>
      </c>
      <c r="AC210" s="80">
        <v>115.27511295543462</v>
      </c>
      <c r="AE210" s="10" t="s">
        <v>146</v>
      </c>
      <c r="AF210" s="78">
        <f>_xll.HumidairTdbRHPsi(H210,I210,M210,AE210)</f>
        <v>27.166135458840738</v>
      </c>
      <c r="AG210" s="81">
        <f t="shared" si="186"/>
        <v>64.166135458840742</v>
      </c>
      <c r="AH210" s="80">
        <v>64.166135458840742</v>
      </c>
      <c r="AJ210" s="10" t="s">
        <v>150</v>
      </c>
      <c r="AK210" s="84">
        <f>_xll.HumidairTdbRHPsi(H210,I210,M210,AJ210)</f>
        <v>0.85311232746273591</v>
      </c>
      <c r="AL210" s="58">
        <v>0.85311232746273591</v>
      </c>
      <c r="AN210" s="49">
        <f t="shared" si="176"/>
        <v>0.49794602949156497</v>
      </c>
      <c r="AO210" s="81">
        <f t="shared" si="187"/>
        <v>40.259134560016577</v>
      </c>
      <c r="AP210" s="81">
        <f t="shared" si="177"/>
        <v>98.342461811525567</v>
      </c>
      <c r="AR210" s="58">
        <v>0.49794602949156497</v>
      </c>
      <c r="AS210" s="155">
        <v>40.259134560016577</v>
      </c>
      <c r="AT210" s="155">
        <v>98.342461811525567</v>
      </c>
      <c r="AU210" s="140"/>
      <c r="AV210" s="49">
        <f t="shared" si="178"/>
        <v>0.13705397050843504</v>
      </c>
      <c r="AW210" s="162">
        <f t="shared" si="179"/>
        <v>1.3705397050843505E-4</v>
      </c>
      <c r="AX210" s="10">
        <f t="shared" si="180"/>
        <v>64</v>
      </c>
      <c r="AY210" s="55">
        <f t="shared" si="181"/>
        <v>7.3066212757456894E-3</v>
      </c>
      <c r="AZ210" s="55">
        <f t="shared" si="182"/>
        <v>4.2904411484120308E-3</v>
      </c>
      <c r="BB210" s="58">
        <v>0.13705397050843504</v>
      </c>
      <c r="BC210" s="167">
        <v>1.3705397050843505E-4</v>
      </c>
      <c r="BD210" s="168">
        <v>64</v>
      </c>
      <c r="BE210" s="170">
        <v>7.3066212757456894E-3</v>
      </c>
      <c r="BF210" s="171">
        <v>4.2904411484120308E-3</v>
      </c>
      <c r="BH210" s="81">
        <f t="shared" si="188"/>
        <v>327.7817957912979</v>
      </c>
      <c r="BI210" s="80">
        <v>327.7817957912979</v>
      </c>
      <c r="BK210" s="81">
        <f t="shared" si="189"/>
        <v>115.27511295543462</v>
      </c>
      <c r="BL210" s="81">
        <f t="shared" si="190"/>
        <v>64.166135458840742</v>
      </c>
      <c r="BM210" s="81">
        <f t="shared" si="191"/>
        <v>51.10897749659388</v>
      </c>
      <c r="BN210" s="192">
        <f t="shared" si="192"/>
        <v>0.44336523457888627</v>
      </c>
      <c r="BO210" s="81">
        <f t="shared" si="193"/>
        <v>64</v>
      </c>
      <c r="BP210" s="49">
        <f t="shared" si="194"/>
        <v>28.375375013048721</v>
      </c>
      <c r="BQ210" s="82">
        <f t="shared" si="195"/>
        <v>6613.6264387523315</v>
      </c>
      <c r="BS210" s="193">
        <v>6613.6264387523315</v>
      </c>
    </row>
    <row r="211" spans="1:71" x14ac:dyDescent="0.25">
      <c r="A211">
        <v>13</v>
      </c>
      <c r="C211" s="26" t="s">
        <v>49</v>
      </c>
      <c r="D211" s="27" t="s">
        <v>50</v>
      </c>
      <c r="E211" s="10" t="s">
        <v>51</v>
      </c>
      <c r="F211" s="33">
        <v>44491</v>
      </c>
      <c r="G211" s="29">
        <v>0.10625</v>
      </c>
      <c r="H211" s="28">
        <v>26</v>
      </c>
      <c r="I211" s="28">
        <v>90</v>
      </c>
      <c r="J211" s="28" t="s">
        <v>85</v>
      </c>
      <c r="K211" s="10">
        <v>3</v>
      </c>
      <c r="L211" s="47">
        <f>+((101325*(1-(2.25577*10^-5)*(K211))^5.25588))</f>
        <v>101288.96574192833</v>
      </c>
      <c r="M211" s="10">
        <f t="shared" si="175"/>
        <v>1.0128896574192834</v>
      </c>
      <c r="N211" s="10" t="s">
        <v>15</v>
      </c>
      <c r="O211" s="10">
        <f>_xll.HumidairTdbRHPsi(H211,I211,M211,N211)</f>
        <v>1.9242657109315747E-2</v>
      </c>
      <c r="P211" s="49">
        <f>+O211*1000</f>
        <v>19.242657109315747</v>
      </c>
      <c r="Q211" s="31"/>
      <c r="R211" s="58">
        <v>19.242657109315747</v>
      </c>
      <c r="S211" s="4"/>
      <c r="T211" s="10">
        <v>13</v>
      </c>
      <c r="U211" s="10" t="s">
        <v>144</v>
      </c>
      <c r="V211" s="78">
        <f>_xll.HumidairTdbRHPsi(H211, I211,M211,U211)</f>
        <v>24.231937171916343</v>
      </c>
      <c r="W211" s="79">
        <v>24.231937171916343</v>
      </c>
      <c r="X211" s="4"/>
      <c r="Y211" s="16">
        <v>13</v>
      </c>
      <c r="Z211" s="88" t="s">
        <v>145</v>
      </c>
      <c r="AA211" s="78">
        <f>_xll.HumidairTdbRHPsi(H211,I211,M211,Z211)</f>
        <v>75.181914771440731</v>
      </c>
      <c r="AB211" s="81">
        <f t="shared" si="185"/>
        <v>112.18191477144073</v>
      </c>
      <c r="AC211" s="80">
        <v>112.18191477144073</v>
      </c>
      <c r="AE211" s="10" t="s">
        <v>146</v>
      </c>
      <c r="AF211" s="78">
        <f>_xll.HumidairTdbRHPsi(H211,I211,M211,AE211)</f>
        <v>26.158907649455458</v>
      </c>
      <c r="AG211" s="81">
        <f t="shared" si="186"/>
        <v>63.158907649455458</v>
      </c>
      <c r="AH211" s="80">
        <v>63.158907649455458</v>
      </c>
      <c r="AJ211" s="10" t="s">
        <v>150</v>
      </c>
      <c r="AK211" s="84">
        <f>_xll.HumidairTdbRHPsi(H211,I211,M211,AJ211)</f>
        <v>0.84754317269065793</v>
      </c>
      <c r="AL211" s="58">
        <v>0.84754317269065793</v>
      </c>
      <c r="AN211" s="49">
        <f t="shared" si="176"/>
        <v>0.50121800264377203</v>
      </c>
      <c r="AO211" s="81">
        <f t="shared" si="187"/>
        <v>38.391791611268154</v>
      </c>
      <c r="AP211" s="81">
        <f t="shared" si="177"/>
        <v>93.781034830213983</v>
      </c>
      <c r="AR211" s="58">
        <v>0.50121800264377203</v>
      </c>
      <c r="AS211" s="155">
        <v>38.391791611268154</v>
      </c>
      <c r="AT211" s="155">
        <v>93.781034830213983</v>
      </c>
      <c r="AU211" s="140"/>
      <c r="AV211" s="49">
        <f t="shared" si="178"/>
        <v>0.13378199735622798</v>
      </c>
      <c r="AW211" s="162">
        <f t="shared" si="179"/>
        <v>1.3378199735622799E-4</v>
      </c>
      <c r="AX211" s="10">
        <f t="shared" si="180"/>
        <v>63</v>
      </c>
      <c r="AY211" s="55">
        <f t="shared" si="181"/>
        <v>7.0207454392574881E-3</v>
      </c>
      <c r="AZ211" s="55">
        <f t="shared" si="182"/>
        <v>4.1225751258117957E-3</v>
      </c>
      <c r="BB211" s="58">
        <v>0.13378199735622798</v>
      </c>
      <c r="BC211" s="167">
        <v>1.3378199735622799E-4</v>
      </c>
      <c r="BD211" s="168">
        <v>63</v>
      </c>
      <c r="BE211" s="170">
        <v>7.0207454392574881E-3</v>
      </c>
      <c r="BF211" s="171">
        <v>4.1225751258117957E-3</v>
      </c>
      <c r="BH211" s="81">
        <f t="shared" si="188"/>
        <v>329.93563008676648</v>
      </c>
      <c r="BI211" s="80">
        <v>329.93563008676648</v>
      </c>
      <c r="BK211" s="81">
        <f t="shared" si="189"/>
        <v>112.18191477144073</v>
      </c>
      <c r="BL211" s="81">
        <f t="shared" si="190"/>
        <v>63.158907649455458</v>
      </c>
      <c r="BM211" s="81">
        <f t="shared" si="191"/>
        <v>49.023007121985273</v>
      </c>
      <c r="BN211" s="192">
        <f t="shared" si="192"/>
        <v>0.43699563536479724</v>
      </c>
      <c r="BO211" s="81">
        <f t="shared" si="193"/>
        <v>63</v>
      </c>
      <c r="BP211" s="49">
        <f t="shared" si="194"/>
        <v>27.530725027982225</v>
      </c>
      <c r="BQ211" s="82">
        <f t="shared" si="195"/>
        <v>6678.0408331700246</v>
      </c>
      <c r="BS211" s="193">
        <v>6678.0408331700246</v>
      </c>
    </row>
    <row r="212" spans="1:71" x14ac:dyDescent="0.25">
      <c r="A212" s="5">
        <v>14</v>
      </c>
      <c r="B212" s="14"/>
      <c r="C212" s="9" t="s">
        <v>172</v>
      </c>
      <c r="D212" s="10" t="s">
        <v>83</v>
      </c>
      <c r="E212" s="10" t="s">
        <v>84</v>
      </c>
      <c r="F212" s="33">
        <v>44490</v>
      </c>
      <c r="G212" s="29">
        <v>0.8979166666666667</v>
      </c>
      <c r="H212" s="28">
        <v>27</v>
      </c>
      <c r="I212" s="28">
        <v>79</v>
      </c>
      <c r="J212" s="28" t="s">
        <v>75</v>
      </c>
      <c r="K212" s="10">
        <v>61</v>
      </c>
      <c r="L212" s="47">
        <f>+((101325*(1-(2.25577*10^-5)*(K212))^5.25588))</f>
        <v>100594.34040699142</v>
      </c>
      <c r="M212" s="10">
        <f t="shared" si="175"/>
        <v>1.0059434040699142</v>
      </c>
      <c r="N212" s="10" t="s">
        <v>15</v>
      </c>
      <c r="O212" s="10">
        <f>_xll.HumidairTdbRHPsi(H212,I212,M212,N212)</f>
        <v>1.8005336486330074E-2</v>
      </c>
      <c r="P212" s="49">
        <f>+O212*1000</f>
        <v>18.005336486330073</v>
      </c>
      <c r="Q212" s="31"/>
      <c r="R212" s="58">
        <v>18.005336486330073</v>
      </c>
      <c r="S212" s="4"/>
      <c r="T212" s="10">
        <v>14</v>
      </c>
      <c r="U212" s="10" t="s">
        <v>144</v>
      </c>
      <c r="V212" s="78">
        <f>_xll.HumidairTdbRHPsi(H212, I212,M212,U212)</f>
        <v>23.047266436020323</v>
      </c>
      <c r="W212" s="79">
        <v>23.047266436020323</v>
      </c>
      <c r="X212" s="4"/>
      <c r="Y212" s="16">
        <v>14</v>
      </c>
      <c r="Z212" s="88" t="s">
        <v>145</v>
      </c>
      <c r="AA212" s="78">
        <f>_xll.HumidairTdbRHPsi(H212,I212,M212,Z212)</f>
        <v>73.073355060273485</v>
      </c>
      <c r="AB212" s="81">
        <f t="shared" si="185"/>
        <v>110.07335506027349</v>
      </c>
      <c r="AC212" s="80">
        <v>110.07335506027349</v>
      </c>
      <c r="AE212" s="10" t="s">
        <v>146</v>
      </c>
      <c r="AF212" s="78">
        <f>_xll.HumidairTdbRHPsi(H212,I212,M212,AE212)</f>
        <v>27.16697782624977</v>
      </c>
      <c r="AG212" s="81">
        <f t="shared" si="186"/>
        <v>64.166977826249763</v>
      </c>
      <c r="AH212" s="80">
        <v>64.166977826249763</v>
      </c>
      <c r="AJ212" s="10" t="s">
        <v>150</v>
      </c>
      <c r="AK212" s="84">
        <f>_xll.HumidairTdbRHPsi(H212,I212,M212,AJ212)</f>
        <v>0.85625774690266143</v>
      </c>
      <c r="AL212" s="58">
        <v>0.85625774690266143</v>
      </c>
      <c r="AN212" s="49">
        <f t="shared" si="176"/>
        <v>0.49611684998707334</v>
      </c>
      <c r="AO212" s="81">
        <f t="shared" si="187"/>
        <v>36.292531662246937</v>
      </c>
      <c r="AP212" s="81">
        <f t="shared" si="177"/>
        <v>88.653095702229933</v>
      </c>
      <c r="AR212" s="58">
        <v>0.49611684998707334</v>
      </c>
      <c r="AS212" s="155">
        <v>36.292531662246937</v>
      </c>
      <c r="AT212" s="155">
        <v>88.653095702229933</v>
      </c>
      <c r="AU212" s="140"/>
      <c r="AV212" s="49">
        <f t="shared" si="178"/>
        <v>0.13888315001292667</v>
      </c>
      <c r="AW212" s="162">
        <f t="shared" si="179"/>
        <v>1.3888315001292666E-4</v>
      </c>
      <c r="AX212" s="10">
        <f t="shared" si="180"/>
        <v>64</v>
      </c>
      <c r="AY212" s="55">
        <f t="shared" si="181"/>
        <v>7.4041384934891456E-3</v>
      </c>
      <c r="AZ212" s="55">
        <f t="shared" si="182"/>
        <v>4.3477031670517592E-3</v>
      </c>
      <c r="BB212" s="58">
        <v>0.13888315001292667</v>
      </c>
      <c r="BC212" s="167">
        <v>1.3888315001292666E-4</v>
      </c>
      <c r="BD212" s="168">
        <v>64</v>
      </c>
      <c r="BE212" s="170">
        <v>7.4041384934891456E-3</v>
      </c>
      <c r="BF212" s="171">
        <v>4.3477031670517592E-3</v>
      </c>
      <c r="BH212" s="81">
        <f t="shared" si="188"/>
        <v>326.57770597574279</v>
      </c>
      <c r="BI212" s="80">
        <v>326.57770597574279</v>
      </c>
      <c r="BK212" s="81">
        <f t="shared" si="189"/>
        <v>110.07335506027349</v>
      </c>
      <c r="BL212" s="81">
        <f t="shared" si="190"/>
        <v>64.166977826249763</v>
      </c>
      <c r="BM212" s="81">
        <f t="shared" si="191"/>
        <v>45.906377234023722</v>
      </c>
      <c r="BN212" s="192">
        <f t="shared" si="192"/>
        <v>0.41705258469578316</v>
      </c>
      <c r="BO212" s="81">
        <f t="shared" si="193"/>
        <v>64</v>
      </c>
      <c r="BP212" s="49">
        <f t="shared" si="194"/>
        <v>26.691365420530122</v>
      </c>
      <c r="BQ212" s="82">
        <f t="shared" si="195"/>
        <v>6139.1876112439213</v>
      </c>
      <c r="BS212" s="193">
        <v>6139.1876112439213</v>
      </c>
    </row>
    <row r="213" spans="1:71" x14ac:dyDescent="0.25">
      <c r="A213">
        <v>15</v>
      </c>
      <c r="C213" s="9" t="s">
        <v>52</v>
      </c>
      <c r="D213" s="10" t="s">
        <v>53</v>
      </c>
      <c r="E213" s="10" t="s">
        <v>54</v>
      </c>
      <c r="F213" s="33">
        <v>44490</v>
      </c>
      <c r="G213" s="29">
        <v>0.64444444444444449</v>
      </c>
      <c r="H213" s="28">
        <v>22</v>
      </c>
      <c r="I213" s="28">
        <v>40</v>
      </c>
      <c r="J213" s="28" t="s">
        <v>90</v>
      </c>
      <c r="K213" s="10">
        <v>533</v>
      </c>
      <c r="L213" s="47">
        <f t="shared" ref="L213:L218" si="196">+((101325*(1-(2.25577*10^-5)*(K213))^5.25588))</f>
        <v>95083.68775760736</v>
      </c>
      <c r="M213" s="10">
        <f t="shared" si="175"/>
        <v>0.9508368775760736</v>
      </c>
      <c r="N213" s="10" t="s">
        <v>15</v>
      </c>
      <c r="O213" s="10">
        <f>_xll.HumidairTdbRHPsi(H213,I213,M213,N213)</f>
        <v>7.0258834746559458E-3</v>
      </c>
      <c r="P213" s="49">
        <f t="shared" ref="P213:P218" si="197">+O213*1000</f>
        <v>7.025883474655946</v>
      </c>
      <c r="Q213" s="31"/>
      <c r="R213" s="58">
        <v>7.025883474655946</v>
      </c>
      <c r="S213" s="4"/>
      <c r="T213" s="10">
        <v>15</v>
      </c>
      <c r="U213" s="10" t="s">
        <v>144</v>
      </c>
      <c r="V213" s="78">
        <f>_xll.HumidairTdbRHPsi(H213, I213,M213,U213)</f>
        <v>7.7972372443556992</v>
      </c>
      <c r="W213" s="79">
        <v>7.7972372443556992</v>
      </c>
      <c r="X213" s="4"/>
      <c r="Y213" s="16">
        <v>15</v>
      </c>
      <c r="Z213" s="88" t="s">
        <v>145</v>
      </c>
      <c r="AA213" s="78">
        <f>_xll.HumidairTdbRHPsi(H213,I213,M213,Z213)</f>
        <v>40.000153164521606</v>
      </c>
      <c r="AB213" s="81">
        <f t="shared" si="185"/>
        <v>77.000153164521606</v>
      </c>
      <c r="AC213" s="80">
        <v>77.000153164521606</v>
      </c>
      <c r="AE213" s="10" t="s">
        <v>146</v>
      </c>
      <c r="AF213" s="78">
        <f>_xll.HumidairTdbRHPsi(H213,I213,M213,AE213)</f>
        <v>22.147903191230597</v>
      </c>
      <c r="AG213" s="81">
        <f t="shared" si="186"/>
        <v>59.147903191230597</v>
      </c>
      <c r="AH213" s="80">
        <v>59.147903191230597</v>
      </c>
      <c r="AJ213" s="10" t="s">
        <v>150</v>
      </c>
      <c r="AK213" s="84">
        <f>_xll.HumidairTdbRHPsi(H213,I213,M213,AJ213)</f>
        <v>0.89076784051542501</v>
      </c>
      <c r="AL213" s="58">
        <v>0.89076784051542501</v>
      </c>
      <c r="AN213" s="49">
        <f t="shared" si="176"/>
        <v>0.47689630995723065</v>
      </c>
      <c r="AO213" s="81">
        <f t="shared" si="187"/>
        <v>14.732518008550006</v>
      </c>
      <c r="AP213" s="81">
        <f t="shared" si="177"/>
        <v>35.987661073130759</v>
      </c>
      <c r="AR213" s="58">
        <v>0.47689630995723065</v>
      </c>
      <c r="AS213" s="155">
        <v>14.732518008550006</v>
      </c>
      <c r="AT213" s="155">
        <v>35.987661073130759</v>
      </c>
      <c r="AU213" s="140"/>
      <c r="AV213" s="49">
        <f t="shared" si="178"/>
        <v>0.15810369004276936</v>
      </c>
      <c r="AW213" s="162">
        <f t="shared" si="179"/>
        <v>1.5810369004276936E-4</v>
      </c>
      <c r="AX213" s="10">
        <f t="shared" si="180"/>
        <v>59</v>
      </c>
      <c r="AY213" s="55">
        <f t="shared" si="181"/>
        <v>7.7703220545319845E-3</v>
      </c>
      <c r="AZ213" s="55">
        <f t="shared" si="182"/>
        <v>4.5627258100598847E-3</v>
      </c>
      <c r="BB213" s="58">
        <v>0.15810369004276936</v>
      </c>
      <c r="BC213" s="167">
        <v>1.5810369004276936E-4</v>
      </c>
      <c r="BD213" s="168">
        <v>59</v>
      </c>
      <c r="BE213" s="170">
        <v>7.7703220545319845E-3</v>
      </c>
      <c r="BF213" s="171">
        <v>4.5627258100598847E-3</v>
      </c>
      <c r="BH213" s="81">
        <f t="shared" si="188"/>
        <v>313.92544497972034</v>
      </c>
      <c r="BI213" s="80">
        <v>313.92544497972034</v>
      </c>
      <c r="BK213" s="81">
        <f t="shared" si="189"/>
        <v>77.000153164521606</v>
      </c>
      <c r="BL213" s="81">
        <f t="shared" si="190"/>
        <v>59.147903191230597</v>
      </c>
      <c r="BM213" s="81">
        <f t="shared" si="191"/>
        <v>17.852249973291009</v>
      </c>
      <c r="BN213" s="192">
        <f t="shared" si="192"/>
        <v>0.23184694107227524</v>
      </c>
      <c r="BO213" s="81">
        <f t="shared" si="193"/>
        <v>59</v>
      </c>
      <c r="BP213" s="49">
        <f t="shared" si="194"/>
        <v>13.678969523264239</v>
      </c>
      <c r="BQ213" s="82">
        <f t="shared" si="195"/>
        <v>2997.9819285009166</v>
      </c>
      <c r="BS213" s="193">
        <v>2997.9819285009166</v>
      </c>
    </row>
    <row r="214" spans="1:71" x14ac:dyDescent="0.25">
      <c r="A214">
        <v>16</v>
      </c>
      <c r="C214" s="9" t="s">
        <v>55</v>
      </c>
      <c r="D214" s="10" t="s">
        <v>56</v>
      </c>
      <c r="E214" s="11" t="s">
        <v>57</v>
      </c>
      <c r="F214" s="33">
        <v>44490</v>
      </c>
      <c r="G214" s="29">
        <v>0.8520833333333333</v>
      </c>
      <c r="H214" s="28">
        <v>18</v>
      </c>
      <c r="I214" s="28">
        <v>87</v>
      </c>
      <c r="J214" s="28" t="s">
        <v>87</v>
      </c>
      <c r="K214" s="10">
        <v>61</v>
      </c>
      <c r="L214" s="47">
        <f t="shared" si="196"/>
        <v>100594.34040699142</v>
      </c>
      <c r="M214" s="10">
        <f t="shared" si="175"/>
        <v>1.0059434040699142</v>
      </c>
      <c r="N214" s="10" t="s">
        <v>15</v>
      </c>
      <c r="O214" s="10">
        <f>_xll.HumidairTdbRHPsi(H214,I214,M214,N214)</f>
        <v>1.1352428587474279E-2</v>
      </c>
      <c r="P214" s="49">
        <f t="shared" si="197"/>
        <v>11.352428587474279</v>
      </c>
      <c r="Q214" s="31"/>
      <c r="R214" s="58">
        <v>11.352428587474279</v>
      </c>
      <c r="S214" s="4"/>
      <c r="T214" s="10">
        <v>16</v>
      </c>
      <c r="U214" s="10" t="s">
        <v>144</v>
      </c>
      <c r="V214" s="78">
        <f>_xll.HumidairTdbRHPsi(H214, I214,M214,U214)</f>
        <v>15.805814246659224</v>
      </c>
      <c r="W214" s="79">
        <v>15.805814246659224</v>
      </c>
      <c r="X214" s="4"/>
      <c r="Y214" s="16">
        <v>16</v>
      </c>
      <c r="Z214" s="88" t="s">
        <v>145</v>
      </c>
      <c r="AA214" s="78">
        <f>_xll.HumidairTdbRHPsi(H214,I214,M214,Z214)</f>
        <v>46.865959307756192</v>
      </c>
      <c r="AB214" s="81">
        <f t="shared" si="185"/>
        <v>83.865959307756185</v>
      </c>
      <c r="AC214" s="80">
        <v>83.865959307756185</v>
      </c>
      <c r="AE214" s="10" t="s">
        <v>146</v>
      </c>
      <c r="AF214" s="78">
        <f>_xll.HumidairTdbRHPsi(H214,I214,M214,AE214)</f>
        <v>18.109851765260689</v>
      </c>
      <c r="AG214" s="81">
        <f t="shared" si="186"/>
        <v>55.109851765260686</v>
      </c>
      <c r="AH214" s="80">
        <v>55.109851765260686</v>
      </c>
      <c r="AJ214" s="10" t="s">
        <v>150</v>
      </c>
      <c r="AK214" s="84">
        <f>_xll.HumidairTdbRHPsi(H214,I214,M214,AJ214)</f>
        <v>0.83051242559116023</v>
      </c>
      <c r="AL214" s="58">
        <v>0.83051242559116023</v>
      </c>
      <c r="AN214" s="49">
        <f t="shared" si="176"/>
        <v>0.51149613549490358</v>
      </c>
      <c r="AO214" s="81">
        <f t="shared" si="187"/>
        <v>22.194553975447175</v>
      </c>
      <c r="AP214" s="81">
        <f t="shared" si="177"/>
        <v>54.215449502532927</v>
      </c>
      <c r="AR214" s="58">
        <v>0.51149613549490358</v>
      </c>
      <c r="AS214" s="155">
        <v>22.194553975447175</v>
      </c>
      <c r="AT214" s="155">
        <v>54.215449502532927</v>
      </c>
      <c r="AU214" s="140"/>
      <c r="AV214" s="49">
        <f t="shared" si="178"/>
        <v>0.12350386450509643</v>
      </c>
      <c r="AW214" s="162">
        <f t="shared" si="179"/>
        <v>1.2350386450509643E-4</v>
      </c>
      <c r="AX214" s="10">
        <f t="shared" si="180"/>
        <v>55</v>
      </c>
      <c r="AY214" s="55">
        <f t="shared" si="181"/>
        <v>5.6583295523009933E-3</v>
      </c>
      <c r="AZ214" s="55">
        <f t="shared" si="182"/>
        <v>3.322565797005868E-3</v>
      </c>
      <c r="BB214" s="58">
        <v>0.12350386450509643</v>
      </c>
      <c r="BC214" s="167">
        <v>1.2350386450509643E-4</v>
      </c>
      <c r="BD214" s="168">
        <v>55</v>
      </c>
      <c r="BE214" s="170">
        <v>5.6583295523009933E-3</v>
      </c>
      <c r="BF214" s="171">
        <v>3.322565797005868E-3</v>
      </c>
      <c r="BH214" s="81">
        <f t="shared" si="188"/>
        <v>336.70139312892866</v>
      </c>
      <c r="BI214" s="80">
        <v>336.70139312892866</v>
      </c>
      <c r="BK214" s="81">
        <f t="shared" si="189"/>
        <v>83.865959307756185</v>
      </c>
      <c r="BL214" s="81">
        <f t="shared" si="190"/>
        <v>55.109851765260686</v>
      </c>
      <c r="BM214" s="81">
        <f t="shared" si="191"/>
        <v>28.756107542495499</v>
      </c>
      <c r="BN214" s="192">
        <f t="shared" si="192"/>
        <v>0.34288175774597079</v>
      </c>
      <c r="BO214" s="81">
        <f t="shared" si="193"/>
        <v>55</v>
      </c>
      <c r="BP214" s="49">
        <f t="shared" si="194"/>
        <v>18.858496676028395</v>
      </c>
      <c r="BQ214" s="82">
        <f t="shared" si="195"/>
        <v>5675.8835876245821</v>
      </c>
      <c r="BS214" s="193">
        <v>5675.8835876245821</v>
      </c>
    </row>
    <row r="215" spans="1:71" x14ac:dyDescent="0.25">
      <c r="A215">
        <v>17</v>
      </c>
      <c r="B215" s="1" t="s">
        <v>58</v>
      </c>
      <c r="C215" s="15" t="s">
        <v>59</v>
      </c>
      <c r="D215" s="16" t="s">
        <v>60</v>
      </c>
      <c r="E215" s="4" t="s">
        <v>61</v>
      </c>
      <c r="F215" s="33">
        <v>44491</v>
      </c>
      <c r="G215" s="29">
        <v>0.22569444444444445</v>
      </c>
      <c r="H215" s="28">
        <v>16</v>
      </c>
      <c r="I215" s="28">
        <v>75</v>
      </c>
      <c r="J215" s="36" t="s">
        <v>85</v>
      </c>
      <c r="K215" s="10">
        <v>9</v>
      </c>
      <c r="L215" s="47">
        <f t="shared" si="196"/>
        <v>101216.9283556498</v>
      </c>
      <c r="M215" s="10">
        <f t="shared" si="175"/>
        <v>1.0121692835564979</v>
      </c>
      <c r="N215" s="10" t="s">
        <v>15</v>
      </c>
      <c r="O215" s="10">
        <f>_xll.HumidairTdbRHPsi(H215,I215,M215,N215)</f>
        <v>8.5296839204495253E-3</v>
      </c>
      <c r="P215" s="49">
        <f t="shared" si="197"/>
        <v>8.5296839204495249</v>
      </c>
      <c r="Q215" s="31"/>
      <c r="R215" s="58">
        <v>8.5296839204495249</v>
      </c>
      <c r="S215" s="4"/>
      <c r="T215" s="10">
        <v>17</v>
      </c>
      <c r="U215" s="10" t="s">
        <v>144</v>
      </c>
      <c r="V215" s="78">
        <f>_xll.HumidairTdbRHPsi(H215, I215,M215,U215)</f>
        <v>11.576506800746017</v>
      </c>
      <c r="W215" s="79">
        <v>11.576506800746017</v>
      </c>
      <c r="X215" s="4"/>
      <c r="Y215" s="16">
        <v>17</v>
      </c>
      <c r="Z215" s="88" t="s">
        <v>145</v>
      </c>
      <c r="AA215" s="78">
        <f>_xll.HumidairTdbRHPsi(H215,I215,M215,Z215)</f>
        <v>37.671506104927211</v>
      </c>
      <c r="AB215" s="81">
        <f t="shared" si="185"/>
        <v>74.671506104927204</v>
      </c>
      <c r="AC215" s="80">
        <v>74.671506104927204</v>
      </c>
      <c r="AE215" s="10" t="s">
        <v>146</v>
      </c>
      <c r="AF215" s="78">
        <f>_xll.HumidairTdbRHPsi(H215,I215,M215,AE215)</f>
        <v>16.095961421506534</v>
      </c>
      <c r="AG215" s="81">
        <f t="shared" si="186"/>
        <v>53.09596142150653</v>
      </c>
      <c r="AH215" s="80">
        <v>53.09596142150653</v>
      </c>
      <c r="AJ215" s="10" t="s">
        <v>150</v>
      </c>
      <c r="AK215" s="84">
        <f>_xll.HumidairTdbRHPsi(H215,I215,M215,AJ215)</f>
        <v>0.81971529020377698</v>
      </c>
      <c r="AL215" s="58">
        <v>0.81971529020377698</v>
      </c>
      <c r="AN215" s="49">
        <f t="shared" si="176"/>
        <v>0.51823346623773858</v>
      </c>
      <c r="AO215" s="81">
        <f t="shared" si="187"/>
        <v>16.459153019146296</v>
      </c>
      <c r="AP215" s="81">
        <f t="shared" si="177"/>
        <v>40.205375622828193</v>
      </c>
      <c r="AR215" s="58">
        <v>0.51823346623773858</v>
      </c>
      <c r="AS215" s="155">
        <v>16.459153019146296</v>
      </c>
      <c r="AT215" s="155">
        <v>40.205375622828193</v>
      </c>
      <c r="AU215" s="140"/>
      <c r="AV215" s="49">
        <f t="shared" si="178"/>
        <v>0.11676653376226143</v>
      </c>
      <c r="AW215" s="162">
        <f t="shared" si="179"/>
        <v>1.1676653376226143E-4</v>
      </c>
      <c r="AX215" s="10">
        <f t="shared" si="180"/>
        <v>53</v>
      </c>
      <c r="AY215" s="55">
        <f t="shared" si="181"/>
        <v>5.1551256990700796E-3</v>
      </c>
      <c r="AZ215" s="55">
        <f t="shared" si="182"/>
        <v>3.0270849671580032E-3</v>
      </c>
      <c r="BB215" s="58">
        <v>0.11676653376226143</v>
      </c>
      <c r="BC215" s="167">
        <v>1.1676653376226143E-4</v>
      </c>
      <c r="BD215" s="168">
        <v>53</v>
      </c>
      <c r="BE215" s="170">
        <v>5.1551256990700796E-3</v>
      </c>
      <c r="BF215" s="171">
        <v>3.0270849671580032E-3</v>
      </c>
      <c r="BH215" s="81">
        <f t="shared" si="188"/>
        <v>341.13636045255862</v>
      </c>
      <c r="BI215" s="80">
        <v>341.13636045255862</v>
      </c>
      <c r="BK215" s="81">
        <f t="shared" si="189"/>
        <v>74.671506104927204</v>
      </c>
      <c r="BL215" s="81">
        <f t="shared" si="190"/>
        <v>53.09596142150653</v>
      </c>
      <c r="BM215" s="81">
        <f t="shared" si="191"/>
        <v>21.575544683420674</v>
      </c>
      <c r="BN215" s="192">
        <f t="shared" si="192"/>
        <v>0.28893946042956553</v>
      </c>
      <c r="BO215" s="81">
        <f t="shared" si="193"/>
        <v>53</v>
      </c>
      <c r="BP215" s="49">
        <f t="shared" si="194"/>
        <v>15.313791402766974</v>
      </c>
      <c r="BQ215" s="82">
        <f t="shared" si="195"/>
        <v>5058.9235415959993</v>
      </c>
      <c r="BS215" s="193">
        <v>5058.9235415959993</v>
      </c>
    </row>
    <row r="216" spans="1:71" x14ac:dyDescent="0.25">
      <c r="A216">
        <v>18</v>
      </c>
      <c r="C216" s="9" t="s">
        <v>62</v>
      </c>
      <c r="D216" s="10" t="s">
        <v>63</v>
      </c>
      <c r="E216" s="11" t="s">
        <v>64</v>
      </c>
      <c r="F216" s="33">
        <v>44491</v>
      </c>
      <c r="G216" s="29">
        <v>0.31319444444444444</v>
      </c>
      <c r="H216" s="28">
        <v>7</v>
      </c>
      <c r="I216" s="28">
        <v>90</v>
      </c>
      <c r="J216" s="28" t="s">
        <v>75</v>
      </c>
      <c r="K216" s="10">
        <v>6</v>
      </c>
      <c r="L216" s="47">
        <f t="shared" si="196"/>
        <v>101252.94186124044</v>
      </c>
      <c r="M216" s="10">
        <f t="shared" si="175"/>
        <v>1.0125294186124043</v>
      </c>
      <c r="N216" s="10" t="s">
        <v>15</v>
      </c>
      <c r="O216" s="10">
        <f>_xll.HumidairTdbRHPsi(H216,I216,M216,N216)</f>
        <v>5.6113085504734973E-3</v>
      </c>
      <c r="P216" s="49">
        <f t="shared" si="197"/>
        <v>5.6113085504734972</v>
      </c>
      <c r="Q216" s="31"/>
      <c r="R216" s="58">
        <v>5.6113085504734972</v>
      </c>
      <c r="S216" s="4"/>
      <c r="T216" s="82">
        <v>18</v>
      </c>
      <c r="U216" s="10" t="s">
        <v>144</v>
      </c>
      <c r="V216" s="78">
        <f>_xll.HumidairTdbRHPsi(H216, I216,M216,U216)</f>
        <v>5.4741693426582287</v>
      </c>
      <c r="W216" s="79">
        <v>5.4741693426582287</v>
      </c>
      <c r="X216" s="4"/>
      <c r="Y216" s="89">
        <v>18</v>
      </c>
      <c r="Z216" s="88" t="s">
        <v>145</v>
      </c>
      <c r="AA216" s="78">
        <f>_xll.HumidairTdbRHPsi(H216,I216,M216,Z216)</f>
        <v>21.141474252324148</v>
      </c>
      <c r="AB216" s="81">
        <f t="shared" si="185"/>
        <v>58.141474252324144</v>
      </c>
      <c r="AC216" s="80">
        <v>58.141474252324144</v>
      </c>
      <c r="AE216" s="10" t="s">
        <v>146</v>
      </c>
      <c r="AF216" s="78">
        <f>_xll.HumidairTdbRHPsi(H216,I216,M216,AE216)</f>
        <v>7.0414082917028322</v>
      </c>
      <c r="AG216" s="81">
        <f t="shared" si="186"/>
        <v>44.04140829170283</v>
      </c>
      <c r="AH216" s="80">
        <v>44.04140829170283</v>
      </c>
      <c r="AJ216" s="10" t="s">
        <v>150</v>
      </c>
      <c r="AK216" s="84">
        <f>_xll.HumidairTdbRHPsi(H216,I216,M216,AJ216)</f>
        <v>0.79383922507424054</v>
      </c>
      <c r="AL216" s="58">
        <v>0.79383922507424054</v>
      </c>
      <c r="AN216" s="49">
        <f t="shared" si="176"/>
        <v>0.53512585767054921</v>
      </c>
      <c r="AO216" s="81">
        <f t="shared" si="187"/>
        <v>10.485960396120692</v>
      </c>
      <c r="AP216" s="81">
        <f t="shared" si="177"/>
        <v>25.614439333646821</v>
      </c>
      <c r="AR216" s="58">
        <v>0.53512585767054921</v>
      </c>
      <c r="AS216" s="155">
        <v>10.485960396120692</v>
      </c>
      <c r="AT216" s="155">
        <v>25.614439333646821</v>
      </c>
      <c r="AU216" s="140"/>
      <c r="AV216" s="49">
        <f t="shared" si="178"/>
        <v>9.9874142329450799E-2</v>
      </c>
      <c r="AW216" s="162">
        <f t="shared" si="179"/>
        <v>9.9874142329450796E-5</v>
      </c>
      <c r="AX216" s="10">
        <f t="shared" si="180"/>
        <v>44</v>
      </c>
      <c r="AY216" s="55">
        <f t="shared" si="181"/>
        <v>3.6605870646590302E-3</v>
      </c>
      <c r="AZ216" s="55">
        <f t="shared" si="182"/>
        <v>2.1494932851785263E-3</v>
      </c>
      <c r="BB216" s="58">
        <v>9.9874142329450799E-2</v>
      </c>
      <c r="BC216" s="167">
        <v>9.9874142329450796E-5</v>
      </c>
      <c r="BD216" s="168">
        <v>44</v>
      </c>
      <c r="BE216" s="170">
        <v>3.6605870646590302E-3</v>
      </c>
      <c r="BF216" s="171">
        <v>2.1494932851785263E-3</v>
      </c>
      <c r="BH216" s="81">
        <f t="shared" si="188"/>
        <v>352.25607638785755</v>
      </c>
      <c r="BI216" s="80">
        <v>352.25607638785755</v>
      </c>
      <c r="BK216" s="81">
        <f t="shared" si="189"/>
        <v>58.141474252324144</v>
      </c>
      <c r="BL216" s="81">
        <f t="shared" si="190"/>
        <v>44.04140829170283</v>
      </c>
      <c r="BM216" s="81">
        <f t="shared" si="191"/>
        <v>14.100065960621315</v>
      </c>
      <c r="BN216" s="192">
        <f t="shared" si="192"/>
        <v>0.24251304498109935</v>
      </c>
      <c r="BO216" s="81">
        <f t="shared" si="193"/>
        <v>44</v>
      </c>
      <c r="BP216" s="49">
        <f t="shared" si="194"/>
        <v>10.670573979168372</v>
      </c>
      <c r="BQ216" s="82">
        <f t="shared" si="195"/>
        <v>4964.2276404143904</v>
      </c>
      <c r="BS216" s="193">
        <v>4964.2276404143904</v>
      </c>
    </row>
    <row r="217" spans="1:71" x14ac:dyDescent="0.25">
      <c r="A217" s="5">
        <v>19</v>
      </c>
      <c r="B217" s="14"/>
      <c r="C217" s="15" t="s">
        <v>65</v>
      </c>
      <c r="D217" s="16" t="s">
        <v>66</v>
      </c>
      <c r="E217" s="4" t="s">
        <v>67</v>
      </c>
      <c r="F217" s="33">
        <v>44490</v>
      </c>
      <c r="G217" s="29">
        <v>0.64513888888888882</v>
      </c>
      <c r="H217" s="28">
        <v>13</v>
      </c>
      <c r="I217" s="28">
        <v>34</v>
      </c>
      <c r="J217" s="28" t="s">
        <v>86</v>
      </c>
      <c r="K217" s="10">
        <v>15</v>
      </c>
      <c r="L217" s="47">
        <f t="shared" si="196"/>
        <v>101144.93246061618</v>
      </c>
      <c r="M217" s="10">
        <f t="shared" si="175"/>
        <v>1.0114493246061618</v>
      </c>
      <c r="N217" s="10" t="s">
        <v>15</v>
      </c>
      <c r="O217" s="10">
        <f>_xll.HumidairTdbRHPsi(H217,I217,M217,N217)</f>
        <v>3.1599908926377763E-3</v>
      </c>
      <c r="P217" s="49">
        <f t="shared" si="197"/>
        <v>3.1599908926377762</v>
      </c>
      <c r="Q217" s="31"/>
      <c r="R217" s="58">
        <v>3.1599908926377762</v>
      </c>
      <c r="S217" s="4"/>
      <c r="T217" s="82">
        <v>19</v>
      </c>
      <c r="U217" s="10" t="s">
        <v>144</v>
      </c>
      <c r="V217" s="78">
        <f>_xll.HumidairTdbRHPsi(H217, I217,M217,U217)</f>
        <v>-2.1978917931827482</v>
      </c>
      <c r="W217" s="79">
        <v>-2.1978917931827482</v>
      </c>
      <c r="X217" s="4"/>
      <c r="Y217" s="89">
        <v>19</v>
      </c>
      <c r="Z217" s="88" t="s">
        <v>145</v>
      </c>
      <c r="AA217" s="78">
        <f>_xll.HumidairTdbRHPsi(H217,I217,M217,Z217)</f>
        <v>21.05439653941049</v>
      </c>
      <c r="AB217" s="81">
        <f t="shared" si="185"/>
        <v>58.05439653941049</v>
      </c>
      <c r="AC217" s="80">
        <v>58.05439653941049</v>
      </c>
      <c r="AE217" s="10" t="s">
        <v>146</v>
      </c>
      <c r="AF217" s="78">
        <f>_xll.HumidairTdbRHPsi(H217,I217,M217,AE217)</f>
        <v>13.077774177139242</v>
      </c>
      <c r="AG217" s="81">
        <f t="shared" si="186"/>
        <v>50.07777417713924</v>
      </c>
      <c r="AH217" s="80">
        <v>50.07777417713924</v>
      </c>
      <c r="AJ217" s="10" t="s">
        <v>150</v>
      </c>
      <c r="AK217" s="84">
        <f>_xll.HumidairTdbRHPsi(H217,I217,M217,AJ217)</f>
        <v>0.81176237757744896</v>
      </c>
      <c r="AL217" s="58">
        <v>0.81176237757744896</v>
      </c>
      <c r="AN217" s="49">
        <f t="shared" si="176"/>
        <v>0.52331064841674957</v>
      </c>
      <c r="AO217" s="81">
        <f t="shared" si="187"/>
        <v>6.0384609069167086</v>
      </c>
      <c r="AP217" s="81">
        <f t="shared" si="177"/>
        <v>14.750369515608433</v>
      </c>
      <c r="AR217" s="58">
        <v>0.52331064841674957</v>
      </c>
      <c r="AS217" s="155">
        <v>6.0384609069167086</v>
      </c>
      <c r="AT217" s="155">
        <v>14.750369515608433</v>
      </c>
      <c r="AU217" s="140"/>
      <c r="AV217" s="49">
        <f t="shared" si="178"/>
        <v>0.11168935158325044</v>
      </c>
      <c r="AW217" s="162">
        <f t="shared" si="179"/>
        <v>1.1168935158325044E-4</v>
      </c>
      <c r="AX217" s="10">
        <f t="shared" si="180"/>
        <v>50</v>
      </c>
      <c r="AY217" s="55">
        <f t="shared" si="181"/>
        <v>4.6518614934423809E-3</v>
      </c>
      <c r="AZ217" s="55">
        <f t="shared" si="182"/>
        <v>2.7315686984394484E-3</v>
      </c>
      <c r="BB217" s="58">
        <v>0.11168935158325044</v>
      </c>
      <c r="BC217" s="167">
        <v>1.1168935158325044E-4</v>
      </c>
      <c r="BD217" s="168">
        <v>50</v>
      </c>
      <c r="BE217" s="170">
        <v>4.6518614934423809E-3</v>
      </c>
      <c r="BF217" s="171">
        <v>2.7315686984394484E-3</v>
      </c>
      <c r="BH217" s="81">
        <f t="shared" si="188"/>
        <v>344.47850557197063</v>
      </c>
      <c r="BI217" s="80">
        <v>344.47850557197063</v>
      </c>
      <c r="BK217" s="81">
        <f t="shared" si="189"/>
        <v>58.05439653941049</v>
      </c>
      <c r="BL217" s="81">
        <f t="shared" si="190"/>
        <v>50.07777417713924</v>
      </c>
      <c r="BM217" s="81">
        <f t="shared" si="191"/>
        <v>7.9766223622712502</v>
      </c>
      <c r="BN217" s="192">
        <f t="shared" si="192"/>
        <v>0.13739910907275185</v>
      </c>
      <c r="BO217" s="81">
        <f t="shared" si="193"/>
        <v>50</v>
      </c>
      <c r="BP217" s="49">
        <f t="shared" si="194"/>
        <v>6.8699554536375924</v>
      </c>
      <c r="BQ217" s="82">
        <f t="shared" si="195"/>
        <v>2515.022030221101</v>
      </c>
      <c r="BS217" s="193">
        <v>2515.022030221101</v>
      </c>
    </row>
    <row r="218" spans="1:71" x14ac:dyDescent="0.25">
      <c r="A218" s="5">
        <v>20</v>
      </c>
      <c r="B218" s="17" t="s">
        <v>68</v>
      </c>
      <c r="C218" s="9" t="s">
        <v>69</v>
      </c>
      <c r="D218" s="10" t="s">
        <v>70</v>
      </c>
      <c r="E218" s="18" t="s">
        <v>71</v>
      </c>
      <c r="F218" s="33">
        <v>44491</v>
      </c>
      <c r="G218" s="29">
        <v>0.3125</v>
      </c>
      <c r="H218" s="28">
        <v>-17</v>
      </c>
      <c r="I218" s="28">
        <v>65</v>
      </c>
      <c r="J218" s="28" t="s">
        <v>75</v>
      </c>
      <c r="K218" s="10">
        <v>10</v>
      </c>
      <c r="L218" s="47">
        <f t="shared" si="196"/>
        <v>101204.92615896827</v>
      </c>
      <c r="M218" s="10">
        <f t="shared" si="175"/>
        <v>1.0120492615896828</v>
      </c>
      <c r="N218" s="10" t="s">
        <v>15</v>
      </c>
      <c r="O218" s="55">
        <f>_xll.HumidairTdbRHPsi(H218,I218,M218,N218)</f>
        <v>5.5110031823242197E-4</v>
      </c>
      <c r="P218" s="49">
        <f t="shared" si="197"/>
        <v>0.551100318232422</v>
      </c>
      <c r="Q218" s="31"/>
      <c r="R218" s="58">
        <v>0.551100318232422</v>
      </c>
      <c r="S218" s="4"/>
      <c r="T218" s="82">
        <v>20</v>
      </c>
      <c r="U218" s="10" t="s">
        <v>144</v>
      </c>
      <c r="V218" s="78">
        <f>_xll.HumidairTdbRHPsi(H218, I218,M218,U218)</f>
        <v>-21.516263895319298</v>
      </c>
      <c r="W218" s="79">
        <v>-21.516263895319298</v>
      </c>
      <c r="X218" s="4"/>
      <c r="Y218" s="90">
        <v>20</v>
      </c>
      <c r="Z218" s="88" t="s">
        <v>145</v>
      </c>
      <c r="AA218" s="78">
        <f>_xll.HumidairTdbRHPsi(H218,I218,M218,Z218)</f>
        <v>-15.736884623390363</v>
      </c>
      <c r="AB218" s="81">
        <f t="shared" si="185"/>
        <v>21.263115376609637</v>
      </c>
      <c r="AC218" s="80">
        <v>21.263115376609637</v>
      </c>
      <c r="AE218" s="10" t="s">
        <v>146</v>
      </c>
      <c r="AF218" s="78">
        <f>_xll.HumidairTdbRHPsi(H218,I218,M218,AE218)</f>
        <v>-17.097265045682491</v>
      </c>
      <c r="AG218" s="81">
        <f t="shared" si="186"/>
        <v>19.902734954317509</v>
      </c>
      <c r="AH218" s="80">
        <v>19.902734954317509</v>
      </c>
      <c r="AJ218" s="10" t="s">
        <v>150</v>
      </c>
      <c r="AK218" s="84">
        <f>_xll.HumidairTdbRHPsi(H218,I218,M218,AJ218)</f>
        <v>0.72592927123310524</v>
      </c>
      <c r="AL218" s="58">
        <v>0.72592927123310524</v>
      </c>
      <c r="AN218" s="49">
        <f t="shared" si="176"/>
        <v>0.58518634391031066</v>
      </c>
      <c r="AO218" s="81">
        <f t="shared" si="187"/>
        <v>0.941751843609131</v>
      </c>
      <c r="AP218" s="81">
        <f t="shared" si="177"/>
        <v>2.3004517043951735</v>
      </c>
      <c r="AR218" s="58">
        <v>0.58518634391031066</v>
      </c>
      <c r="AS218" s="155">
        <v>0.941751843609131</v>
      </c>
      <c r="AT218" s="155">
        <v>2.3004517043951735</v>
      </c>
      <c r="AU218" s="140"/>
      <c r="AV218" s="49">
        <f t="shared" si="178"/>
        <v>4.9813656089689351E-2</v>
      </c>
      <c r="AW218" s="162">
        <f t="shared" si="179"/>
        <v>4.9813656089689351E-5</v>
      </c>
      <c r="AX218" s="10">
        <f t="shared" si="180"/>
        <v>20</v>
      </c>
      <c r="AY218" s="55">
        <f t="shared" si="181"/>
        <v>8.2989551045422455E-4</v>
      </c>
      <c r="AZ218" s="55">
        <f t="shared" si="182"/>
        <v>4.8731386403653819E-4</v>
      </c>
      <c r="BB218" s="58">
        <v>4.9813656089689351E-2</v>
      </c>
      <c r="BC218" s="167">
        <v>4.9813656089689351E-5</v>
      </c>
      <c r="BD218" s="168">
        <v>20</v>
      </c>
      <c r="BE218" s="170">
        <v>8.2989551045422455E-4</v>
      </c>
      <c r="BF218" s="171">
        <v>4.8731386403653819E-4</v>
      </c>
      <c r="BH218" s="81">
        <f t="shared" si="188"/>
        <v>385.20927835355883</v>
      </c>
      <c r="BI218" s="80">
        <v>385.20927835355883</v>
      </c>
      <c r="BK218" s="78">
        <f t="shared" ref="BK218" si="198">+AB218</f>
        <v>21.263115376609637</v>
      </c>
      <c r="BL218" s="81">
        <f t="shared" ref="BL218" si="199">+AG218</f>
        <v>19.902734954317509</v>
      </c>
      <c r="BM218" s="81">
        <f t="shared" ref="BM218" si="200">+BK218-BL218</f>
        <v>1.3603804222921276</v>
      </c>
      <c r="BN218" s="192">
        <f t="shared" ref="BN218" si="201">+BM218/BK218</f>
        <v>6.3978415119197732E-2</v>
      </c>
      <c r="BO218" s="81">
        <v>0</v>
      </c>
      <c r="BP218" s="49">
        <f t="shared" ref="BP218" si="202">+BN218*BO218*-1</f>
        <v>0</v>
      </c>
      <c r="BQ218" s="82"/>
      <c r="BS218" s="9"/>
    </row>
    <row r="220" spans="1:71" x14ac:dyDescent="0.25">
      <c r="AN220" s="4" t="s">
        <v>230</v>
      </c>
    </row>
    <row r="221" spans="1:71" x14ac:dyDescent="0.25">
      <c r="AH221" s="197"/>
      <c r="AK221" s="86" t="s">
        <v>159</v>
      </c>
      <c r="AN221" s="4">
        <v>414.82</v>
      </c>
      <c r="AO221" s="139" t="s">
        <v>231</v>
      </c>
      <c r="AX221" s="4" t="s">
        <v>192</v>
      </c>
      <c r="AY221" s="27" t="s">
        <v>271</v>
      </c>
      <c r="AZ221" s="86" t="s">
        <v>159</v>
      </c>
      <c r="BD221" s="70" t="s">
        <v>192</v>
      </c>
      <c r="BE221" s="70" t="s">
        <v>271</v>
      </c>
      <c r="BF221" s="83"/>
      <c r="BH221" s="27" t="s">
        <v>233</v>
      </c>
      <c r="BI221" s="70" t="s">
        <v>233</v>
      </c>
      <c r="BK221" s="86" t="s">
        <v>159</v>
      </c>
      <c r="BQ221" s="4" t="s">
        <v>289</v>
      </c>
      <c r="BS221" s="57" t="s">
        <v>289</v>
      </c>
    </row>
    <row r="222" spans="1:71" x14ac:dyDescent="0.25">
      <c r="K222" s="2"/>
      <c r="M222" s="30"/>
      <c r="N222" s="25"/>
      <c r="O222" s="25"/>
      <c r="R222" s="66" t="s">
        <v>129</v>
      </c>
      <c r="T222" s="69"/>
      <c r="Y222" t="s">
        <v>166</v>
      </c>
      <c r="AB222" s="4"/>
      <c r="AC222" s="57"/>
      <c r="AG222" s="4"/>
      <c r="AH222" s="57"/>
      <c r="AK222" s="26" t="s">
        <v>192</v>
      </c>
      <c r="AL222" s="70" t="s">
        <v>192</v>
      </c>
      <c r="AN222" s="4">
        <v>1.8256000000000001E-2</v>
      </c>
      <c r="AO222" s="139" t="s">
        <v>176</v>
      </c>
      <c r="AX222" s="4" t="s">
        <v>193</v>
      </c>
      <c r="AY222" s="16" t="s">
        <v>193</v>
      </c>
      <c r="BD222" s="72" t="s">
        <v>193</v>
      </c>
      <c r="BE222" s="72" t="s">
        <v>193</v>
      </c>
      <c r="BF222" s="83"/>
      <c r="BH222" s="16" t="s">
        <v>255</v>
      </c>
      <c r="BI222" s="72" t="s">
        <v>255</v>
      </c>
      <c r="BQ222" s="27" t="s">
        <v>306</v>
      </c>
      <c r="BS222" s="57" t="s">
        <v>290</v>
      </c>
    </row>
    <row r="223" spans="1:71" x14ac:dyDescent="0.25">
      <c r="B223" s="45" t="s">
        <v>129</v>
      </c>
      <c r="C223" s="2"/>
      <c r="G223" s="51"/>
      <c r="I223" s="52"/>
      <c r="P223" s="4" t="s">
        <v>72</v>
      </c>
      <c r="R223" s="203" t="s">
        <v>72</v>
      </c>
      <c r="T223" t="s">
        <v>140</v>
      </c>
      <c r="AA223" s="71" t="s">
        <v>134</v>
      </c>
      <c r="AB223" s="27" t="s">
        <v>300</v>
      </c>
      <c r="AC223" s="70" t="s">
        <v>300</v>
      </c>
      <c r="AF223" s="71" t="s">
        <v>134</v>
      </c>
      <c r="AG223" s="27" t="s">
        <v>314</v>
      </c>
      <c r="AH223" s="70" t="s">
        <v>314</v>
      </c>
      <c r="AK223" s="15" t="s">
        <v>147</v>
      </c>
      <c r="AL223" s="72" t="s">
        <v>147</v>
      </c>
      <c r="AN223" s="4">
        <v>1.8405999999999999E-2</v>
      </c>
      <c r="AO223" t="s">
        <v>232</v>
      </c>
      <c r="AQ223" t="s">
        <v>187</v>
      </c>
      <c r="AS223" s="176" t="s">
        <v>315</v>
      </c>
      <c r="AT223" s="87" t="s">
        <v>317</v>
      </c>
      <c r="AV223" s="163" t="s">
        <v>270</v>
      </c>
      <c r="AX223" s="4">
        <v>0.83299999999999996</v>
      </c>
      <c r="AY223" s="16" t="s">
        <v>272</v>
      </c>
      <c r="AZ223" s="27" t="s">
        <v>274</v>
      </c>
      <c r="BB223" s="70" t="s">
        <v>270</v>
      </c>
      <c r="BD223" s="72">
        <v>0.83299999999999996</v>
      </c>
      <c r="BE223" s="72" t="s">
        <v>272</v>
      </c>
      <c r="BF223" s="70" t="s">
        <v>274</v>
      </c>
      <c r="BH223" s="16" t="s">
        <v>282</v>
      </c>
      <c r="BI223" s="72" t="s">
        <v>282</v>
      </c>
      <c r="BK223" s="27" t="s">
        <v>297</v>
      </c>
      <c r="BL223" s="27" t="s">
        <v>299</v>
      </c>
      <c r="BM223" s="26" t="s">
        <v>301</v>
      </c>
      <c r="BO223" s="163" t="s">
        <v>304</v>
      </c>
      <c r="BQ223" s="16" t="s">
        <v>291</v>
      </c>
      <c r="BS223" s="57" t="s">
        <v>291</v>
      </c>
    </row>
    <row r="224" spans="1:71" x14ac:dyDescent="0.25">
      <c r="G224" s="4" t="s">
        <v>0</v>
      </c>
      <c r="K224" s="4" t="s">
        <v>1</v>
      </c>
      <c r="L224" s="4" t="s">
        <v>2</v>
      </c>
      <c r="O224" s="4" t="s">
        <v>72</v>
      </c>
      <c r="P224" s="4" t="s">
        <v>81</v>
      </c>
      <c r="Q224" s="4"/>
      <c r="R224" s="72" t="s">
        <v>81</v>
      </c>
      <c r="V224" s="26" t="s">
        <v>310</v>
      </c>
      <c r="W224" s="87" t="s">
        <v>310</v>
      </c>
      <c r="AA224" s="73" t="s">
        <v>141</v>
      </c>
      <c r="AB224" s="16" t="s">
        <v>141</v>
      </c>
      <c r="AC224" s="72" t="s">
        <v>141</v>
      </c>
      <c r="AF224" s="42" t="s">
        <v>141</v>
      </c>
      <c r="AG224" s="16" t="s">
        <v>141</v>
      </c>
      <c r="AH224" s="72" t="s">
        <v>141</v>
      </c>
      <c r="AK224" s="15" t="s">
        <v>148</v>
      </c>
      <c r="AL224" s="72" t="s">
        <v>148</v>
      </c>
      <c r="AN224" s="27" t="s">
        <v>235</v>
      </c>
      <c r="AO224" s="27" t="s">
        <v>233</v>
      </c>
      <c r="AP224" s="27" t="s">
        <v>233</v>
      </c>
      <c r="AR224" s="176" t="s">
        <v>320</v>
      </c>
      <c r="AS224" s="199" t="s">
        <v>316</v>
      </c>
      <c r="AT224" s="72" t="s">
        <v>318</v>
      </c>
      <c r="AV224" s="73" t="s">
        <v>275</v>
      </c>
      <c r="AW224" s="163" t="s">
        <v>270</v>
      </c>
      <c r="AY224" s="16" t="s">
        <v>251</v>
      </c>
      <c r="AZ224" s="16">
        <v>1.7030000000000001</v>
      </c>
      <c r="BB224" s="72" t="s">
        <v>275</v>
      </c>
      <c r="BC224" s="176" t="s">
        <v>270</v>
      </c>
      <c r="BD224" s="74"/>
      <c r="BE224" s="72" t="s">
        <v>251</v>
      </c>
      <c r="BF224" s="72">
        <v>1.7030000000000001</v>
      </c>
      <c r="BH224" s="173" t="s">
        <v>187</v>
      </c>
      <c r="BI224" s="72" t="s">
        <v>187</v>
      </c>
      <c r="BK224" s="16" t="s">
        <v>298</v>
      </c>
      <c r="BL224" s="16" t="s">
        <v>298</v>
      </c>
      <c r="BM224" s="16" t="s">
        <v>300</v>
      </c>
      <c r="BO224" s="16" t="s">
        <v>303</v>
      </c>
      <c r="BP224" s="161" t="s">
        <v>296</v>
      </c>
      <c r="BQ224" s="16" t="s">
        <v>292</v>
      </c>
      <c r="BS224" s="57" t="s">
        <v>292</v>
      </c>
    </row>
    <row r="225" spans="1:71" ht="17.25" x14ac:dyDescent="0.25">
      <c r="A225" s="5"/>
      <c r="B225" s="5"/>
      <c r="C225" t="s">
        <v>3</v>
      </c>
      <c r="D225" t="s">
        <v>4</v>
      </c>
      <c r="E225" t="s">
        <v>5</v>
      </c>
      <c r="F225" s="4" t="s">
        <v>6</v>
      </c>
      <c r="G225" s="6" t="s">
        <v>7</v>
      </c>
      <c r="H225" s="4" t="s">
        <v>98</v>
      </c>
      <c r="I225" s="4" t="s">
        <v>99</v>
      </c>
      <c r="J225" s="4" t="s">
        <v>74</v>
      </c>
      <c r="K225" s="7" t="s">
        <v>163</v>
      </c>
      <c r="L225" s="7" t="s">
        <v>8</v>
      </c>
      <c r="M225" s="4" t="s">
        <v>9</v>
      </c>
      <c r="N225" s="4" t="s">
        <v>10</v>
      </c>
      <c r="O225" s="4" t="s">
        <v>11</v>
      </c>
      <c r="P225" s="4" t="s">
        <v>82</v>
      </c>
      <c r="Q225" s="4"/>
      <c r="R225" s="77" t="s">
        <v>82</v>
      </c>
      <c r="S225" s="4"/>
      <c r="T225" s="10" t="s">
        <v>142</v>
      </c>
      <c r="U225" s="18" t="s">
        <v>10</v>
      </c>
      <c r="V225" s="13" t="s">
        <v>273</v>
      </c>
      <c r="W225" s="77" t="s">
        <v>311</v>
      </c>
      <c r="X225" s="4"/>
      <c r="Y225" s="10" t="s">
        <v>142</v>
      </c>
      <c r="Z225" s="18" t="s">
        <v>10</v>
      </c>
      <c r="AA225" s="76" t="s">
        <v>143</v>
      </c>
      <c r="AB225" s="13" t="s">
        <v>312</v>
      </c>
      <c r="AC225" s="72" t="s">
        <v>312</v>
      </c>
      <c r="AE225" s="9" t="s">
        <v>10</v>
      </c>
      <c r="AF225" s="76" t="s">
        <v>82</v>
      </c>
      <c r="AG225" s="13" t="s">
        <v>313</v>
      </c>
      <c r="AH225" s="77" t="s">
        <v>313</v>
      </c>
      <c r="AJ225" s="32" t="s">
        <v>10</v>
      </c>
      <c r="AK225" s="12" t="s">
        <v>149</v>
      </c>
      <c r="AL225" s="77" t="s">
        <v>149</v>
      </c>
      <c r="AN225" s="13" t="s">
        <v>230</v>
      </c>
      <c r="AO225" s="13" t="s">
        <v>177</v>
      </c>
      <c r="AP225" s="13" t="s">
        <v>234</v>
      </c>
      <c r="AR225" s="177" t="s">
        <v>321</v>
      </c>
      <c r="AS225" s="177" t="s">
        <v>232</v>
      </c>
      <c r="AT225" s="77" t="s">
        <v>319</v>
      </c>
      <c r="AV225" s="166" t="s">
        <v>149</v>
      </c>
      <c r="AW225" s="13" t="s">
        <v>276</v>
      </c>
      <c r="AX225" s="164" t="s">
        <v>186</v>
      </c>
      <c r="AY225" s="13" t="s">
        <v>82</v>
      </c>
      <c r="AZ225" s="13" t="s">
        <v>273</v>
      </c>
      <c r="BB225" s="77" t="s">
        <v>149</v>
      </c>
      <c r="BC225" s="177" t="s">
        <v>276</v>
      </c>
      <c r="BD225" s="77" t="s">
        <v>186</v>
      </c>
      <c r="BE225" s="77" t="s">
        <v>82</v>
      </c>
      <c r="BF225" s="77" t="s">
        <v>277</v>
      </c>
      <c r="BH225" s="13">
        <v>418</v>
      </c>
      <c r="BI225" s="77">
        <v>418</v>
      </c>
      <c r="BK225" s="13" t="s">
        <v>250</v>
      </c>
      <c r="BL225" s="13" t="s">
        <v>250</v>
      </c>
      <c r="BM225" s="13" t="s">
        <v>295</v>
      </c>
      <c r="BN225" s="18" t="s">
        <v>302</v>
      </c>
      <c r="BO225" s="13" t="s">
        <v>189</v>
      </c>
      <c r="BP225" s="76" t="s">
        <v>277</v>
      </c>
      <c r="BQ225" s="13" t="s">
        <v>305</v>
      </c>
      <c r="BS225" s="57" t="s">
        <v>288</v>
      </c>
    </row>
    <row r="226" spans="1:71" x14ac:dyDescent="0.25">
      <c r="A226">
        <v>1</v>
      </c>
      <c r="C226" s="9" t="s">
        <v>12</v>
      </c>
      <c r="D226" s="10" t="s">
        <v>13</v>
      </c>
      <c r="E226" s="32" t="s">
        <v>14</v>
      </c>
      <c r="F226" s="33">
        <v>44521</v>
      </c>
      <c r="G226" s="29">
        <v>0.49305555555555558</v>
      </c>
      <c r="H226" s="46">
        <v>-25</v>
      </c>
      <c r="I226" s="28">
        <v>76</v>
      </c>
      <c r="J226" s="28" t="s">
        <v>88</v>
      </c>
      <c r="K226" s="10">
        <v>32</v>
      </c>
      <c r="L226" s="47">
        <f>+((101325*(1-(2.25577*10^-5)*(K226))^5.25588))</f>
        <v>100941.16925190832</v>
      </c>
      <c r="M226" s="10">
        <f t="shared" ref="M226:M245" si="203">+L226/100000</f>
        <v>1.0094116925190832</v>
      </c>
      <c r="N226" s="10" t="s">
        <v>15</v>
      </c>
      <c r="O226" s="10">
        <f>_xll.HumidairTdbRHPsi(H226,I226,M226,N226)</f>
        <v>2.9786494844777112E-4</v>
      </c>
      <c r="P226" s="49">
        <f>+O226*1000</f>
        <v>0.29786494844777112</v>
      </c>
      <c r="Q226" s="31"/>
      <c r="R226" s="58">
        <v>0.29786494844777112</v>
      </c>
      <c r="S226" s="4"/>
      <c r="T226" s="10">
        <v>1</v>
      </c>
      <c r="U226" s="10" t="s">
        <v>144</v>
      </c>
      <c r="V226" s="78">
        <f>_xll.HumidairTdbRHPsi(H226, I226,M226,U226)</f>
        <v>-27.718333157002974</v>
      </c>
      <c r="W226" s="79">
        <v>-27.718333157002974</v>
      </c>
      <c r="X226" s="4"/>
      <c r="Y226" s="10">
        <v>1</v>
      </c>
      <c r="Z226" s="10" t="s">
        <v>145</v>
      </c>
      <c r="AA226" s="78">
        <f>_xll.HumidairTdbRHPsi(H226,I226,M226,Z226)</f>
        <v>-24.411064188866938</v>
      </c>
      <c r="AB226" s="78">
        <f>+AA226+37</f>
        <v>12.588935811133062</v>
      </c>
      <c r="AC226" s="80">
        <v>12.588935811133062</v>
      </c>
      <c r="AE226" s="10" t="s">
        <v>146</v>
      </c>
      <c r="AF226" s="78">
        <f>_xll.HumidairTdbRHPsi(H226,I226,M226,AE226)</f>
        <v>-25.141908926874411</v>
      </c>
      <c r="AG226" s="78">
        <f>+AF226+37</f>
        <v>11.858091073125589</v>
      </c>
      <c r="AH226" s="80">
        <v>11.858091073125589</v>
      </c>
      <c r="AJ226" s="10" t="s">
        <v>150</v>
      </c>
      <c r="AK226" s="84">
        <f>_xll.HumidairTdbRHPsi(H226,I226,M226,AJ226)</f>
        <v>0.70499484377070754</v>
      </c>
      <c r="AL226" s="58">
        <v>0.70499484377070754</v>
      </c>
      <c r="AN226" s="49">
        <f t="shared" ref="AN226:AN245" si="204">+$AN$6*($AL$57/AL226)</f>
        <v>0.60256312499859965</v>
      </c>
      <c r="AO226" s="81">
        <f>+R226/AN226</f>
        <v>0.49432986535388029</v>
      </c>
      <c r="AP226" s="81">
        <f t="shared" ref="AP226:AP245" si="205">+AO226*(44.0059/18.015)</f>
        <v>1.2075176587164207</v>
      </c>
      <c r="AR226" s="58">
        <v>0.60256312499859965</v>
      </c>
      <c r="AS226" s="155">
        <v>0.49432986535388029</v>
      </c>
      <c r="AT226" s="155">
        <v>1.2075176587164207</v>
      </c>
      <c r="AU226" s="140"/>
      <c r="AV226" s="84">
        <f t="shared" ref="AV226:AV245" si="206">+$AN$57-AN226</f>
        <v>3.2436875001400356E-2</v>
      </c>
      <c r="AW226" s="165">
        <f t="shared" ref="AW226:AW245" si="207">+AV226/1000</f>
        <v>3.2436875001400355E-5</v>
      </c>
      <c r="AX226" s="10">
        <f t="shared" ref="AX226:AX245" si="208">37+H226</f>
        <v>12</v>
      </c>
      <c r="AY226" s="55">
        <f t="shared" ref="AY226:AY245" si="209">+AW226*AX226*$AX$9</f>
        <v>3.2423900251399795E-4</v>
      </c>
      <c r="AZ226" s="55">
        <f t="shared" ref="AZ226:AZ245" si="210">+AY226/1.703</f>
        <v>1.9039283764767936E-4</v>
      </c>
      <c r="BB226" s="58">
        <v>3.2436875001400356E-2</v>
      </c>
      <c r="BC226" s="167">
        <v>3.2436875001400355E-5</v>
      </c>
      <c r="BD226" s="168">
        <v>12</v>
      </c>
      <c r="BE226" s="168">
        <v>3.2423900251399795E-4</v>
      </c>
      <c r="BF226" s="169">
        <v>1.9039283764767936E-4</v>
      </c>
      <c r="BH226" s="81">
        <f>418*($AL$57/AL226)</f>
        <v>396.64785236128296</v>
      </c>
      <c r="BI226" s="80">
        <v>396.64785236128296</v>
      </c>
      <c r="BK226" s="81">
        <f>+AB226</f>
        <v>12.588935811133062</v>
      </c>
      <c r="BL226" s="81">
        <f>+AG226</f>
        <v>11.858091073125589</v>
      </c>
      <c r="BM226" s="81">
        <f>+BK226-BL226</f>
        <v>0.73084473800747318</v>
      </c>
      <c r="BN226" s="192">
        <f>+BM226/BK226</f>
        <v>5.8054528911105296E-2</v>
      </c>
      <c r="BO226" s="81">
        <f>+H226-$H$57</f>
        <v>12</v>
      </c>
      <c r="BP226" s="49">
        <f>+BN226*BO226</f>
        <v>0.69665434693326356</v>
      </c>
      <c r="BQ226" s="82">
        <f>+BP226/AZ226</f>
        <v>3659.0365243802798</v>
      </c>
      <c r="BS226" s="193">
        <v>5793.4744969354424</v>
      </c>
    </row>
    <row r="227" spans="1:71" x14ac:dyDescent="0.25">
      <c r="A227">
        <v>2</v>
      </c>
      <c r="B227" s="1" t="s">
        <v>16</v>
      </c>
      <c r="C227" s="12" t="s">
        <v>17</v>
      </c>
      <c r="D227" s="13" t="s">
        <v>18</v>
      </c>
      <c r="E227" s="11" t="s">
        <v>19</v>
      </c>
      <c r="F227" s="33">
        <v>44522</v>
      </c>
      <c r="G227" s="29">
        <v>7.5694444444444439E-2</v>
      </c>
      <c r="H227" s="28">
        <v>-26</v>
      </c>
      <c r="I227" s="28">
        <v>73</v>
      </c>
      <c r="J227" s="28" t="s">
        <v>85</v>
      </c>
      <c r="K227" s="10">
        <v>41</v>
      </c>
      <c r="L227" s="47">
        <f t="shared" ref="L227:L235" si="211">+((101325*(1-(2.25577*10^-5)*(K227))^5.25588))</f>
        <v>100833.42925724134</v>
      </c>
      <c r="M227" s="10">
        <f t="shared" si="203"/>
        <v>1.0083342925724135</v>
      </c>
      <c r="N227" s="10" t="s">
        <v>15</v>
      </c>
      <c r="O227" s="10">
        <f>_xll.HumidairTdbRHPsi(H227,I227,M227,N227)</f>
        <v>2.5907350726190546E-4</v>
      </c>
      <c r="P227" s="49">
        <f t="shared" ref="P227:P235" si="212">+O227*1000</f>
        <v>0.25907350726190548</v>
      </c>
      <c r="Q227" s="31"/>
      <c r="R227" s="58">
        <v>0.25907350726190548</v>
      </c>
      <c r="S227" s="4"/>
      <c r="T227" s="10">
        <v>2</v>
      </c>
      <c r="U227" s="10" t="s">
        <v>144</v>
      </c>
      <c r="V227" s="78">
        <f>_xll.HumidairTdbRHPsi(H227, I227,M227,U227)</f>
        <v>-29.087351921288217</v>
      </c>
      <c r="W227" s="79">
        <v>-29.087351921288217</v>
      </c>
      <c r="X227" s="4"/>
      <c r="Y227" s="10">
        <v>2</v>
      </c>
      <c r="Z227" s="10" t="s">
        <v>145</v>
      </c>
      <c r="AA227" s="78">
        <f>_xll.HumidairTdbRHPsi(H227,I227,M227,Z227)</f>
        <v>-25.512055229569665</v>
      </c>
      <c r="AB227" s="81">
        <f t="shared" ref="AB227:AB245" si="213">+AA227+37</f>
        <v>11.487944770430335</v>
      </c>
      <c r="AC227" s="80">
        <v>11.487944770430335</v>
      </c>
      <c r="AE227" s="10" t="s">
        <v>146</v>
      </c>
      <c r="AF227" s="78">
        <f>_xll.HumidairTdbRHPsi(H227,I227,M227,AE227)</f>
        <v>-26.147240310839294</v>
      </c>
      <c r="AG227" s="81">
        <f t="shared" ref="AG227:AG245" si="214">+AF227+37</f>
        <v>10.852759689160706</v>
      </c>
      <c r="AH227" s="80">
        <v>10.852759689160706</v>
      </c>
      <c r="AJ227" s="10" t="s">
        <v>150</v>
      </c>
      <c r="AK227" s="84">
        <f>_xll.HumidairTdbRHPsi(H227,I227,M227,AJ227)</f>
        <v>0.70289122682451111</v>
      </c>
      <c r="AL227" s="58">
        <v>0.70289122682451111</v>
      </c>
      <c r="AN227" s="49">
        <f t="shared" si="204"/>
        <v>0.60436647941892252</v>
      </c>
      <c r="AO227" s="81">
        <f t="shared" ref="AO227:AO245" si="215">+R227/AN227</f>
        <v>0.42866955081790059</v>
      </c>
      <c r="AP227" s="81">
        <f t="shared" si="205"/>
        <v>1.0471268046815125</v>
      </c>
      <c r="AR227" s="58">
        <v>0.60436647941892252</v>
      </c>
      <c r="AS227" s="155">
        <v>0.42866955081790059</v>
      </c>
      <c r="AT227" s="155">
        <v>1.0471268046815125</v>
      </c>
      <c r="AU227" s="140"/>
      <c r="AV227" s="49">
        <f t="shared" si="206"/>
        <v>3.0633520581077489E-2</v>
      </c>
      <c r="AW227" s="162">
        <f t="shared" si="207"/>
        <v>3.0633520581077489E-5</v>
      </c>
      <c r="AX227" s="10">
        <f t="shared" si="208"/>
        <v>11</v>
      </c>
      <c r="AY227" s="55">
        <f t="shared" si="209"/>
        <v>2.8069494908441301E-4</v>
      </c>
      <c r="AZ227" s="55">
        <f t="shared" si="210"/>
        <v>1.6482381038427071E-4</v>
      </c>
      <c r="BB227" s="58">
        <v>3.0633520581077489E-2</v>
      </c>
      <c r="BC227" s="167">
        <v>3.0633520581077489E-5</v>
      </c>
      <c r="BD227" s="168">
        <v>11</v>
      </c>
      <c r="BE227" s="170">
        <v>2.8069494908441301E-4</v>
      </c>
      <c r="BF227" s="169">
        <v>1.6482381038427071E-4</v>
      </c>
      <c r="BH227" s="81">
        <f t="shared" ref="BH227:BH245" si="216">418*($AL$57/AL227)</f>
        <v>397.83494235765295</v>
      </c>
      <c r="BI227" s="80">
        <v>397.83494235765295</v>
      </c>
      <c r="BK227" s="81">
        <f t="shared" ref="BK227:BK244" si="217">+AB227</f>
        <v>11.487944770430335</v>
      </c>
      <c r="BL227" s="81">
        <f t="shared" ref="BL227:BL244" si="218">+AG227</f>
        <v>10.852759689160706</v>
      </c>
      <c r="BM227" s="81">
        <f t="shared" ref="BM227:BM244" si="219">+BK227-BL227</f>
        <v>0.63518508126962914</v>
      </c>
      <c r="BN227" s="192">
        <f t="shared" ref="BN227:BN244" si="220">+BM227/BK227</f>
        <v>5.5291446291122384E-2</v>
      </c>
      <c r="BO227" s="81">
        <f t="shared" ref="BO227:BO244" si="221">+H227-$H$57</f>
        <v>11</v>
      </c>
      <c r="BP227" s="49">
        <f t="shared" ref="BP227:BP244" si="222">+BN227*BO227</f>
        <v>0.60820590920234618</v>
      </c>
      <c r="BQ227" s="82">
        <f t="shared" ref="BQ227:BQ244" si="223">+BP227/AZ227</f>
        <v>3690.0366990932512</v>
      </c>
      <c r="BS227" s="193">
        <v>8050.9891616580035</v>
      </c>
    </row>
    <row r="228" spans="1:71" x14ac:dyDescent="0.25">
      <c r="A228">
        <v>3</v>
      </c>
      <c r="C228" s="12" t="s">
        <v>20</v>
      </c>
      <c r="D228" s="10" t="s">
        <v>21</v>
      </c>
      <c r="E228" s="11" t="s">
        <v>22</v>
      </c>
      <c r="F228" s="33">
        <v>44521</v>
      </c>
      <c r="G228" s="29">
        <v>0.73263888888888884</v>
      </c>
      <c r="H228" s="28">
        <v>-4</v>
      </c>
      <c r="I228" s="28">
        <v>68</v>
      </c>
      <c r="J228" s="28" t="s">
        <v>102</v>
      </c>
      <c r="K228" s="10">
        <v>15</v>
      </c>
      <c r="L228" s="47">
        <f t="shared" si="211"/>
        <v>101144.93246061618</v>
      </c>
      <c r="M228" s="10">
        <f t="shared" si="203"/>
        <v>1.0114493246061618</v>
      </c>
      <c r="N228" s="10" t="s">
        <v>15</v>
      </c>
      <c r="O228" s="10">
        <f>_xll.HumidairTdbRHPsi(H228,I228,M228,N228)</f>
        <v>1.842186530492475E-3</v>
      </c>
      <c r="P228" s="49">
        <f t="shared" si="212"/>
        <v>1.8421865304924749</v>
      </c>
      <c r="Q228" s="31"/>
      <c r="R228" s="58">
        <v>1.8421865304924749</v>
      </c>
      <c r="S228" s="4"/>
      <c r="T228" s="10">
        <v>3</v>
      </c>
      <c r="U228" s="10" t="s">
        <v>144</v>
      </c>
      <c r="V228" s="78">
        <f>_xll.HumidairTdbRHPsi(H228, I228,M228,U228)</f>
        <v>-8.4705358828408066</v>
      </c>
      <c r="W228" s="79">
        <v>-8.4705358828408066</v>
      </c>
      <c r="X228" s="4"/>
      <c r="Y228" s="10">
        <v>3</v>
      </c>
      <c r="Z228" s="10" t="s">
        <v>145</v>
      </c>
      <c r="AA228" s="78">
        <f>_xll.HumidairTdbRHPsi(H228,I228,M228,Z228)</f>
        <v>0.56909378926637744</v>
      </c>
      <c r="AB228" s="81">
        <f t="shared" si="213"/>
        <v>37.569093789266375</v>
      </c>
      <c r="AC228" s="80">
        <v>37.569093789266375</v>
      </c>
      <c r="AE228" s="10" t="s">
        <v>146</v>
      </c>
      <c r="AF228" s="78">
        <f>_xll.HumidairTdbRHPsi(H228,I228,M228,AE228)</f>
        <v>-4.022702131439158</v>
      </c>
      <c r="AG228" s="81">
        <f t="shared" si="214"/>
        <v>32.977297868560839</v>
      </c>
      <c r="AH228" s="80">
        <v>32.977297868560839</v>
      </c>
      <c r="AJ228" s="10" t="s">
        <v>150</v>
      </c>
      <c r="AK228" s="84">
        <f>_xll.HumidairTdbRHPsi(H228,I228,M228,AJ228)</f>
        <v>0.76337651170447707</v>
      </c>
      <c r="AL228" s="58">
        <v>0.76337651170447707</v>
      </c>
      <c r="AN228" s="49">
        <f t="shared" si="204"/>
        <v>0.55648017676345507</v>
      </c>
      <c r="AO228" s="81">
        <f t="shared" si="215"/>
        <v>3.3104261524764782</v>
      </c>
      <c r="AP228" s="81">
        <f t="shared" si="205"/>
        <v>8.0864991519991474</v>
      </c>
      <c r="AR228" s="58">
        <v>0.55648017676345507</v>
      </c>
      <c r="AS228" s="155">
        <v>3.3104261524764782</v>
      </c>
      <c r="AT228" s="155">
        <v>8.0864991519991474</v>
      </c>
      <c r="AU228" s="140"/>
      <c r="AV228" s="49">
        <f t="shared" si="206"/>
        <v>7.8519823236544939E-2</v>
      </c>
      <c r="AW228" s="162">
        <f t="shared" si="207"/>
        <v>7.8519823236544945E-5</v>
      </c>
      <c r="AX228" s="10">
        <f t="shared" si="208"/>
        <v>33</v>
      </c>
      <c r="AY228" s="55">
        <f t="shared" si="209"/>
        <v>2.158431420949384E-3</v>
      </c>
      <c r="AZ228" s="55">
        <f t="shared" si="210"/>
        <v>1.2674289024952343E-3</v>
      </c>
      <c r="BB228" s="58">
        <v>7.8519823236544939E-2</v>
      </c>
      <c r="BC228" s="167">
        <v>7.8519823236544945E-5</v>
      </c>
      <c r="BD228" s="168">
        <v>33</v>
      </c>
      <c r="BE228" s="170">
        <v>2.158431420949384E-3</v>
      </c>
      <c r="BF228" s="171">
        <v>1.2674289024952343E-3</v>
      </c>
      <c r="BH228" s="81">
        <f t="shared" si="216"/>
        <v>366.31293525531373</v>
      </c>
      <c r="BI228" s="80">
        <v>366.31293525531373</v>
      </c>
      <c r="BK228" s="81">
        <f t="shared" si="217"/>
        <v>37.569093789266375</v>
      </c>
      <c r="BL228" s="81">
        <f t="shared" si="218"/>
        <v>32.977297868560839</v>
      </c>
      <c r="BM228" s="81">
        <f t="shared" si="219"/>
        <v>4.5917959207055361</v>
      </c>
      <c r="BN228" s="192">
        <f t="shared" si="220"/>
        <v>0.12222269577387114</v>
      </c>
      <c r="BO228" s="81">
        <f t="shared" si="221"/>
        <v>33</v>
      </c>
      <c r="BP228" s="49">
        <f t="shared" si="222"/>
        <v>4.0333489605377473</v>
      </c>
      <c r="BQ228" s="82">
        <f t="shared" si="223"/>
        <v>3182.3078616852936</v>
      </c>
      <c r="BS228" s="193">
        <v>4435.944292046167</v>
      </c>
    </row>
    <row r="229" spans="1:71" x14ac:dyDescent="0.25">
      <c r="A229" s="5">
        <v>4</v>
      </c>
      <c r="B229" s="14"/>
      <c r="C229" s="12" t="s">
        <v>23</v>
      </c>
      <c r="D229" s="10" t="s">
        <v>24</v>
      </c>
      <c r="E229" s="11" t="s">
        <v>25</v>
      </c>
      <c r="F229" s="33">
        <v>44521</v>
      </c>
      <c r="G229" s="29">
        <v>0.40833333333333338</v>
      </c>
      <c r="H229" s="28">
        <v>-27</v>
      </c>
      <c r="I229" s="28">
        <v>78</v>
      </c>
      <c r="J229" s="28" t="s">
        <v>87</v>
      </c>
      <c r="K229" s="10">
        <v>26</v>
      </c>
      <c r="L229" s="47">
        <f t="shared" si="211"/>
        <v>101013.04768769341</v>
      </c>
      <c r="M229" s="10">
        <f t="shared" si="203"/>
        <v>1.0101304768769341</v>
      </c>
      <c r="N229" s="10" t="s">
        <v>15</v>
      </c>
      <c r="O229" s="10">
        <f>_xll.HumidairTdbRHPsi(H229,I229,M229,N229)</f>
        <v>2.4976085798891887E-4</v>
      </c>
      <c r="P229" s="49">
        <f t="shared" si="212"/>
        <v>0.24976085798891887</v>
      </c>
      <c r="Q229" s="31"/>
      <c r="R229" s="58">
        <v>0.24976085798891887</v>
      </c>
      <c r="S229" s="4"/>
      <c r="T229" s="10">
        <v>4</v>
      </c>
      <c r="U229" s="10" t="s">
        <v>144</v>
      </c>
      <c r="V229" s="78">
        <f>_xll.HumidairTdbRHPsi(H229, I229,M229,U229)</f>
        <v>-29.424220174894003</v>
      </c>
      <c r="W229" s="79">
        <v>-29.424220174894003</v>
      </c>
      <c r="X229" s="4"/>
      <c r="Y229" s="10">
        <v>4</v>
      </c>
      <c r="Z229" s="10" t="s">
        <v>145</v>
      </c>
      <c r="AA229" s="78">
        <f>_xll.HumidairTdbRHPsi(H229,I229,M229,Z229)</f>
        <v>-26.541662086259151</v>
      </c>
      <c r="AB229" s="81">
        <f t="shared" si="213"/>
        <v>10.458337913740849</v>
      </c>
      <c r="AC229" s="80">
        <v>10.458337913740849</v>
      </c>
      <c r="AE229" s="10" t="s">
        <v>146</v>
      </c>
      <c r="AF229" s="78">
        <f>_xll.HumidairTdbRHPsi(H229,I229,M229,AE229)</f>
        <v>-27.153549241300919</v>
      </c>
      <c r="AG229" s="81">
        <f t="shared" si="214"/>
        <v>9.8464507586990813</v>
      </c>
      <c r="AH229" s="80">
        <v>9.8464507586990813</v>
      </c>
      <c r="AJ229" s="10" t="s">
        <v>150</v>
      </c>
      <c r="AK229" s="84">
        <f>_xll.HumidairTdbRHPsi(H229,I229,M229,AJ229)</f>
        <v>0.69878747560656118</v>
      </c>
      <c r="AL229" s="58">
        <v>0.69878747560656118</v>
      </c>
      <c r="AN229" s="49">
        <f t="shared" si="204"/>
        <v>0.60791572688339768</v>
      </c>
      <c r="AO229" s="81">
        <f t="shared" si="215"/>
        <v>0.41084783127649643</v>
      </c>
      <c r="AP229" s="81">
        <f t="shared" si="205"/>
        <v>1.0035930379334095</v>
      </c>
      <c r="AR229" s="58">
        <v>0.60791572688339768</v>
      </c>
      <c r="AS229" s="155">
        <v>0.41084783127649643</v>
      </c>
      <c r="AT229" s="155">
        <v>1.0035930379334095</v>
      </c>
      <c r="AU229" s="140"/>
      <c r="AV229" s="49">
        <f t="shared" si="206"/>
        <v>2.7084273116602331E-2</v>
      </c>
      <c r="AW229" s="162">
        <f t="shared" si="207"/>
        <v>2.7084273116602332E-5</v>
      </c>
      <c r="AX229" s="10">
        <f t="shared" si="208"/>
        <v>10</v>
      </c>
      <c r="AY229" s="55">
        <f t="shared" si="209"/>
        <v>2.2561199506129743E-4</v>
      </c>
      <c r="AZ229" s="55">
        <f t="shared" si="210"/>
        <v>1.3247915153335139E-4</v>
      </c>
      <c r="BB229" s="58">
        <v>2.7084273116602331E-2</v>
      </c>
      <c r="BC229" s="167">
        <v>2.7084273116602332E-5</v>
      </c>
      <c r="BD229" s="168">
        <v>10</v>
      </c>
      <c r="BE229" s="170">
        <v>2.2561199506129743E-4</v>
      </c>
      <c r="BF229" s="171">
        <v>1.3247915153335139E-4</v>
      </c>
      <c r="BH229" s="81">
        <f t="shared" si="216"/>
        <v>400.17129738151215</v>
      </c>
      <c r="BI229" s="80">
        <v>400.17129738151215</v>
      </c>
      <c r="BK229" s="81">
        <f t="shared" si="217"/>
        <v>10.458337913740849</v>
      </c>
      <c r="BL229" s="81">
        <f t="shared" si="218"/>
        <v>9.8464507586990813</v>
      </c>
      <c r="BM229" s="81">
        <f t="shared" si="219"/>
        <v>0.61188715504176727</v>
      </c>
      <c r="BN229" s="192">
        <f t="shared" si="220"/>
        <v>5.8507112706487507E-2</v>
      </c>
      <c r="BO229" s="81">
        <f t="shared" si="221"/>
        <v>10</v>
      </c>
      <c r="BP229" s="49">
        <f t="shared" si="222"/>
        <v>0.58507112706487507</v>
      </c>
      <c r="BQ229" s="82">
        <f t="shared" si="223"/>
        <v>4416.3260429516295</v>
      </c>
      <c r="BS229" s="193">
        <v>12807.345524559727</v>
      </c>
    </row>
    <row r="230" spans="1:71" x14ac:dyDescent="0.25">
      <c r="A230">
        <v>5</v>
      </c>
      <c r="C230" s="9" t="s">
        <v>26</v>
      </c>
      <c r="D230" s="10" t="s">
        <v>27</v>
      </c>
      <c r="E230" s="11" t="s">
        <v>28</v>
      </c>
      <c r="F230" s="33">
        <v>44522</v>
      </c>
      <c r="G230" s="29">
        <v>2.361111111111111E-2</v>
      </c>
      <c r="H230" s="28">
        <v>-7</v>
      </c>
      <c r="I230" s="28">
        <v>33</v>
      </c>
      <c r="J230" s="28" t="s">
        <v>88</v>
      </c>
      <c r="K230" s="10">
        <v>356</v>
      </c>
      <c r="L230" s="47">
        <f t="shared" si="211"/>
        <v>97120.766933102874</v>
      </c>
      <c r="M230" s="10">
        <f t="shared" si="203"/>
        <v>0.97120766933102876</v>
      </c>
      <c r="N230" s="10" t="s">
        <v>15</v>
      </c>
      <c r="O230" s="10">
        <f>_xll.HumidairTdbRHPsi(H230,I230,M230,N230)</f>
        <v>7.1837359432340507E-4</v>
      </c>
      <c r="P230" s="49">
        <f t="shared" si="212"/>
        <v>0.71837359432340508</v>
      </c>
      <c r="Q230" s="31"/>
      <c r="R230" s="58">
        <v>0.71837359432340508</v>
      </c>
      <c r="S230" s="4"/>
      <c r="T230" s="10">
        <v>5</v>
      </c>
      <c r="U230" s="10" t="s">
        <v>144</v>
      </c>
      <c r="V230" s="78">
        <f>_xll.HumidairTdbRHPsi(H230, I230,M230,U230)</f>
        <v>-19.190284050665127</v>
      </c>
      <c r="W230" s="79">
        <v>-19.190284050665127</v>
      </c>
      <c r="X230" s="4"/>
      <c r="Y230" s="10">
        <v>5</v>
      </c>
      <c r="Z230" s="10" t="s">
        <v>145</v>
      </c>
      <c r="AA230" s="78">
        <f>_xll.HumidairTdbRHPsi(H230,I230,M230,Z230)</f>
        <v>-5.241514371266879</v>
      </c>
      <c r="AB230" s="81">
        <f t="shared" si="213"/>
        <v>31.758485628733119</v>
      </c>
      <c r="AC230" s="80">
        <v>31.758485628733119</v>
      </c>
      <c r="AE230" s="10" t="s">
        <v>146</v>
      </c>
      <c r="AF230" s="78">
        <f>_xll.HumidairTdbRHPsi(H230,I230,M230,AE230)</f>
        <v>-7.0282226657622013</v>
      </c>
      <c r="AG230" s="81">
        <f t="shared" si="214"/>
        <v>29.9717773342378</v>
      </c>
      <c r="AH230" s="80">
        <v>29.9717773342378</v>
      </c>
      <c r="AJ230" s="10" t="s">
        <v>150</v>
      </c>
      <c r="AK230" s="84">
        <f>_xll.HumidairTdbRHPsi(H230,I230,M230,AJ230)</f>
        <v>0.78613312340171571</v>
      </c>
      <c r="AL230" s="58">
        <v>0.78613312340171571</v>
      </c>
      <c r="AN230" s="49">
        <f t="shared" si="204"/>
        <v>0.54037145048943758</v>
      </c>
      <c r="AO230" s="81">
        <f t="shared" si="215"/>
        <v>1.3294070100719484</v>
      </c>
      <c r="AP230" s="81">
        <f t="shared" si="205"/>
        <v>3.2473911709422785</v>
      </c>
      <c r="AR230" s="58">
        <v>0.54037145048943758</v>
      </c>
      <c r="AS230" s="155">
        <v>1.3294070100719484</v>
      </c>
      <c r="AT230" s="155">
        <v>3.2473911709422785</v>
      </c>
      <c r="AU230" s="140"/>
      <c r="AV230" s="49">
        <f t="shared" si="206"/>
        <v>9.4628549510562432E-2</v>
      </c>
      <c r="AW230" s="162">
        <f t="shared" si="207"/>
        <v>9.4628549510562436E-5</v>
      </c>
      <c r="AX230" s="10">
        <f t="shared" si="208"/>
        <v>30</v>
      </c>
      <c r="AY230" s="55">
        <f t="shared" si="209"/>
        <v>2.3647674522689552E-3</v>
      </c>
      <c r="AZ230" s="55">
        <f t="shared" si="210"/>
        <v>1.3885892262295685E-3</v>
      </c>
      <c r="BB230" s="58">
        <v>9.4628549510562432E-2</v>
      </c>
      <c r="BC230" s="167">
        <v>9.4628549510562436E-5</v>
      </c>
      <c r="BD230" s="168">
        <v>30</v>
      </c>
      <c r="BE230" s="170">
        <v>2.3647674522689552E-3</v>
      </c>
      <c r="BF230" s="171">
        <v>1.3885892262295685E-3</v>
      </c>
      <c r="BH230" s="81">
        <f t="shared" si="216"/>
        <v>355.70908079462185</v>
      </c>
      <c r="BI230" s="80">
        <v>355.70908079462185</v>
      </c>
      <c r="BK230" s="81">
        <f t="shared" si="217"/>
        <v>31.758485628733119</v>
      </c>
      <c r="BL230" s="81">
        <f t="shared" si="218"/>
        <v>29.9717773342378</v>
      </c>
      <c r="BM230" s="81">
        <f t="shared" si="219"/>
        <v>1.7867082944953196</v>
      </c>
      <c r="BN230" s="192">
        <f t="shared" si="220"/>
        <v>5.6259240927999922E-2</v>
      </c>
      <c r="BO230" s="81">
        <f t="shared" si="221"/>
        <v>30</v>
      </c>
      <c r="BP230" s="49">
        <f t="shared" si="222"/>
        <v>1.6877772278399976</v>
      </c>
      <c r="BQ230" s="82">
        <f t="shared" si="223"/>
        <v>1215.4618485862902</v>
      </c>
      <c r="BS230" s="193">
        <v>1782.6773779265591</v>
      </c>
    </row>
    <row r="231" spans="1:71" x14ac:dyDescent="0.25">
      <c r="A231">
        <v>6</v>
      </c>
      <c r="C231" s="9" t="s">
        <v>29</v>
      </c>
      <c r="D231" s="10" t="s">
        <v>30</v>
      </c>
      <c r="E231" s="11" t="s">
        <v>31</v>
      </c>
      <c r="F231" s="33">
        <v>44521</v>
      </c>
      <c r="G231" s="34">
        <v>0.35833333333333334</v>
      </c>
      <c r="H231" s="28">
        <v>3</v>
      </c>
      <c r="I231" s="28">
        <v>98</v>
      </c>
      <c r="J231" s="28" t="s">
        <v>107</v>
      </c>
      <c r="K231" s="10">
        <v>2</v>
      </c>
      <c r="L231" s="47">
        <f t="shared" si="211"/>
        <v>101300.97600813</v>
      </c>
      <c r="M231" s="10">
        <f t="shared" si="203"/>
        <v>1.0130097600812999</v>
      </c>
      <c r="N231" s="10" t="s">
        <v>15</v>
      </c>
      <c r="O231" s="10">
        <f>_xll.HumidairTdbRHPsi(H231,I231,M231,N231)</f>
        <v>4.6130602538689836E-3</v>
      </c>
      <c r="P231" s="49">
        <f t="shared" si="212"/>
        <v>4.6130602538689836</v>
      </c>
      <c r="Q231" s="31"/>
      <c r="R231" s="58">
        <v>4.6130602538689836</v>
      </c>
      <c r="S231" s="4"/>
      <c r="T231" s="10">
        <v>6</v>
      </c>
      <c r="U231" s="10" t="s">
        <v>144</v>
      </c>
      <c r="V231" s="78">
        <f>_xll.HumidairTdbRHPsi(H231, I231,M231,U231)</f>
        <v>2.7153061202465665</v>
      </c>
      <c r="W231" s="79">
        <v>2.7153061202465665</v>
      </c>
      <c r="X231" s="4"/>
      <c r="Y231" s="10">
        <v>6</v>
      </c>
      <c r="Z231" s="10" t="s">
        <v>145</v>
      </c>
      <c r="AA231" s="78">
        <f>_xll.HumidairTdbRHPsi(H231,I231,M231,Z231)</f>
        <v>14.575110968503799</v>
      </c>
      <c r="AB231" s="81">
        <f t="shared" si="213"/>
        <v>51.5751109685038</v>
      </c>
      <c r="AC231" s="80">
        <v>51.5751109685038</v>
      </c>
      <c r="AE231" s="10" t="s">
        <v>146</v>
      </c>
      <c r="AF231" s="78">
        <f>_xll.HumidairTdbRHPsi(H231,I231,M231,AE231)</f>
        <v>3.0176267002826971</v>
      </c>
      <c r="AG231" s="81">
        <f t="shared" si="214"/>
        <v>40.017626700282698</v>
      </c>
      <c r="AH231" s="80">
        <v>40.017626700282698</v>
      </c>
      <c r="AJ231" s="10" t="s">
        <v>150</v>
      </c>
      <c r="AK231" s="84">
        <f>_xll.HumidairTdbRHPsi(H231,I231,M231,AJ231)</f>
        <v>0.7820953823747393</v>
      </c>
      <c r="AL231" s="58">
        <v>0.7820953823747393</v>
      </c>
      <c r="AN231" s="49">
        <f t="shared" si="204"/>
        <v>0.54316123805834371</v>
      </c>
      <c r="AO231" s="81">
        <f t="shared" si="215"/>
        <v>8.492985011889731</v>
      </c>
      <c r="AP231" s="81">
        <f t="shared" si="205"/>
        <v>20.74612540298186</v>
      </c>
      <c r="AR231" s="58">
        <v>0.54316123805834371</v>
      </c>
      <c r="AS231" s="155">
        <v>8.492985011889731</v>
      </c>
      <c r="AT231" s="155">
        <v>20.74612540298186</v>
      </c>
      <c r="AU231" s="140"/>
      <c r="AV231" s="49">
        <f t="shared" si="206"/>
        <v>9.1838761941656299E-2</v>
      </c>
      <c r="AW231" s="162">
        <f t="shared" si="207"/>
        <v>9.1838761941656305E-5</v>
      </c>
      <c r="AX231" s="10">
        <f t="shared" si="208"/>
        <v>40</v>
      </c>
      <c r="AY231" s="55">
        <f t="shared" si="209"/>
        <v>3.0600675478959882E-3</v>
      </c>
      <c r="AZ231" s="55">
        <f t="shared" si="210"/>
        <v>1.7968687891344616E-3</v>
      </c>
      <c r="BB231" s="58">
        <v>9.1838761941656299E-2</v>
      </c>
      <c r="BC231" s="167">
        <v>9.1838761941656305E-5</v>
      </c>
      <c r="BD231" s="168">
        <v>40</v>
      </c>
      <c r="BE231" s="170">
        <v>3.0600675478959882E-3</v>
      </c>
      <c r="BF231" s="171">
        <v>1.7968687891344616E-3</v>
      </c>
      <c r="BH231" s="81">
        <f t="shared" si="216"/>
        <v>357.54550788722463</v>
      </c>
      <c r="BI231" s="80">
        <v>357.54550788722463</v>
      </c>
      <c r="BK231" s="81">
        <f t="shared" si="217"/>
        <v>51.5751109685038</v>
      </c>
      <c r="BL231" s="81">
        <f t="shared" si="218"/>
        <v>40.017626700282698</v>
      </c>
      <c r="BM231" s="81">
        <f t="shared" si="219"/>
        <v>11.557484268221103</v>
      </c>
      <c r="BN231" s="192">
        <f t="shared" si="220"/>
        <v>0.22409034224432589</v>
      </c>
      <c r="BO231" s="81">
        <f t="shared" si="221"/>
        <v>40</v>
      </c>
      <c r="BP231" s="49">
        <f t="shared" si="222"/>
        <v>8.9636136897730356</v>
      </c>
      <c r="BQ231" s="82">
        <f t="shared" si="223"/>
        <v>4988.4631220573101</v>
      </c>
      <c r="BS231" s="193">
        <v>6110.8673245202053</v>
      </c>
    </row>
    <row r="232" spans="1:71" x14ac:dyDescent="0.25">
      <c r="A232">
        <v>7</v>
      </c>
      <c r="B232" s="1" t="s">
        <v>32</v>
      </c>
      <c r="C232" s="9" t="s">
        <v>33</v>
      </c>
      <c r="D232" s="10" t="s">
        <v>34</v>
      </c>
      <c r="E232" s="11" t="s">
        <v>35</v>
      </c>
      <c r="F232" s="33">
        <v>44521</v>
      </c>
      <c r="G232" s="29">
        <v>0.74097222222222225</v>
      </c>
      <c r="H232" s="28">
        <v>9</v>
      </c>
      <c r="I232" s="28">
        <v>86</v>
      </c>
      <c r="J232" s="28" t="s">
        <v>85</v>
      </c>
      <c r="K232" s="10">
        <v>126</v>
      </c>
      <c r="L232" s="47">
        <f t="shared" si="211"/>
        <v>99820.46987859541</v>
      </c>
      <c r="M232" s="10">
        <f t="shared" si="203"/>
        <v>0.99820469878595408</v>
      </c>
      <c r="N232" s="10" t="s">
        <v>15</v>
      </c>
      <c r="O232" s="10">
        <f>_xll.HumidairTdbRHPsi(H232,I232,M232,N232)</f>
        <v>6.2381771224184731E-3</v>
      </c>
      <c r="P232" s="49">
        <f t="shared" si="212"/>
        <v>6.238177122418473</v>
      </c>
      <c r="Q232" s="31"/>
      <c r="R232" s="58">
        <v>6.238177122418473</v>
      </c>
      <c r="S232" s="4"/>
      <c r="T232" s="10">
        <v>7</v>
      </c>
      <c r="U232" s="10" t="s">
        <v>144</v>
      </c>
      <c r="V232" s="78">
        <f>_xll.HumidairTdbRHPsi(H232, I232,M232,U232)</f>
        <v>6.7866160896424503</v>
      </c>
      <c r="W232" s="79">
        <v>6.7866160896424503</v>
      </c>
      <c r="X232" s="4"/>
      <c r="Y232" s="10">
        <v>7</v>
      </c>
      <c r="Z232" s="10" t="s">
        <v>145</v>
      </c>
      <c r="AA232" s="78">
        <f>_xll.HumidairTdbRHPsi(H232,I232,M232,Z232)</f>
        <v>24.755527438272892</v>
      </c>
      <c r="AB232" s="81">
        <f t="shared" si="213"/>
        <v>61.755527438272892</v>
      </c>
      <c r="AC232" s="80">
        <v>61.755527438272892</v>
      </c>
      <c r="AE232" s="10" t="s">
        <v>146</v>
      </c>
      <c r="AF232" s="78">
        <f>_xll.HumidairTdbRHPsi(H232,I232,M232,AE232)</f>
        <v>9.0570645040950986</v>
      </c>
      <c r="AG232" s="81">
        <f t="shared" si="214"/>
        <v>46.057064504095095</v>
      </c>
      <c r="AH232" s="80">
        <v>46.057064504095095</v>
      </c>
      <c r="AJ232" s="10" t="s">
        <v>150</v>
      </c>
      <c r="AK232" s="84">
        <f>_xll.HumidairTdbRHPsi(H232,I232,M232,AJ232)</f>
        <v>0.81100409295876008</v>
      </c>
      <c r="AL232" s="58">
        <v>0.81100409295876008</v>
      </c>
      <c r="AN232" s="49">
        <f t="shared" si="204"/>
        <v>0.5237999411576072</v>
      </c>
      <c r="AO232" s="81">
        <f t="shared" si="215"/>
        <v>11.909465107292663</v>
      </c>
      <c r="AP232" s="81">
        <f t="shared" si="205"/>
        <v>29.091686403830703</v>
      </c>
      <c r="AR232" s="58">
        <v>0.5237999411576072</v>
      </c>
      <c r="AS232" s="155">
        <v>11.909465107292663</v>
      </c>
      <c r="AT232" s="155">
        <v>29.091686403830703</v>
      </c>
      <c r="AU232" s="140"/>
      <c r="AV232" s="49">
        <f t="shared" si="206"/>
        <v>0.11120005884239281</v>
      </c>
      <c r="AW232" s="162">
        <f t="shared" si="207"/>
        <v>1.1120005884239281E-4</v>
      </c>
      <c r="AX232" s="10">
        <f t="shared" si="208"/>
        <v>46</v>
      </c>
      <c r="AY232" s="55">
        <f t="shared" si="209"/>
        <v>4.2609638547228077E-3</v>
      </c>
      <c r="AZ232" s="55">
        <f t="shared" si="210"/>
        <v>2.5020339722388769E-3</v>
      </c>
      <c r="BB232" s="58">
        <v>0.11120005884239281</v>
      </c>
      <c r="BC232" s="167">
        <v>1.1120005884239281E-4</v>
      </c>
      <c r="BD232" s="168">
        <v>46</v>
      </c>
      <c r="BE232" s="170">
        <v>4.2609638547228077E-3</v>
      </c>
      <c r="BF232" s="171">
        <v>2.5020339722388769E-3</v>
      </c>
      <c r="BH232" s="81">
        <f t="shared" si="216"/>
        <v>344.80059118721226</v>
      </c>
      <c r="BI232" s="80">
        <v>344.80059118721226</v>
      </c>
      <c r="BK232" s="81">
        <f t="shared" si="217"/>
        <v>61.755527438272892</v>
      </c>
      <c r="BL232" s="81">
        <f t="shared" si="218"/>
        <v>46.057064504095095</v>
      </c>
      <c r="BM232" s="81">
        <f t="shared" si="219"/>
        <v>15.698462934177797</v>
      </c>
      <c r="BN232" s="192">
        <f t="shared" si="220"/>
        <v>0.25420336584233755</v>
      </c>
      <c r="BO232" s="81">
        <f t="shared" si="221"/>
        <v>46</v>
      </c>
      <c r="BP232" s="49">
        <f t="shared" si="222"/>
        <v>11.693354828747527</v>
      </c>
      <c r="BQ232" s="82">
        <f t="shared" si="223"/>
        <v>4673.539591584381</v>
      </c>
      <c r="BS232" s="193">
        <v>5587.9277725465427</v>
      </c>
    </row>
    <row r="233" spans="1:71" x14ac:dyDescent="0.25">
      <c r="A233">
        <v>8</v>
      </c>
      <c r="C233" s="9" t="s">
        <v>36</v>
      </c>
      <c r="D233" s="10" t="s">
        <v>37</v>
      </c>
      <c r="E233" s="11" t="s">
        <v>38</v>
      </c>
      <c r="F233" s="33">
        <v>44522</v>
      </c>
      <c r="G233" s="29">
        <v>3.2638888888888891E-2</v>
      </c>
      <c r="H233" s="28">
        <v>-7</v>
      </c>
      <c r="I233" s="28">
        <v>88</v>
      </c>
      <c r="J233" s="28" t="s">
        <v>110</v>
      </c>
      <c r="K233" s="10">
        <v>143</v>
      </c>
      <c r="L233" s="47">
        <f t="shared" si="211"/>
        <v>99618.87034335341</v>
      </c>
      <c r="M233" s="10">
        <f t="shared" si="203"/>
        <v>0.99618870343353405</v>
      </c>
      <c r="N233" s="10" t="s">
        <v>15</v>
      </c>
      <c r="O233" s="10">
        <f>_xll.HumidairTdbRHPsi(H233,I233,M233,N233)</f>
        <v>1.8712564213855159E-3</v>
      </c>
      <c r="P233" s="49">
        <f t="shared" si="212"/>
        <v>1.8712564213855158</v>
      </c>
      <c r="Q233" s="31"/>
      <c r="R233" s="58">
        <v>1.8712564213855158</v>
      </c>
      <c r="S233" s="4"/>
      <c r="T233" s="10">
        <v>8</v>
      </c>
      <c r="U233" s="10" t="s">
        <v>144</v>
      </c>
      <c r="V233" s="78">
        <f>_xll.HumidairTdbRHPsi(H233, I233,M233,U233)</f>
        <v>-8.4652357551162254</v>
      </c>
      <c r="W233" s="79">
        <v>-8.4652357551162254</v>
      </c>
      <c r="X233" s="4"/>
      <c r="Y233" s="10">
        <v>8</v>
      </c>
      <c r="Z233" s="10" t="s">
        <v>145</v>
      </c>
      <c r="AA233" s="78">
        <f>_xll.HumidairTdbRHPsi(H233,I233,M233,Z233)</f>
        <v>-2.3817340664933506</v>
      </c>
      <c r="AB233" s="81">
        <f t="shared" si="213"/>
        <v>34.618265933506649</v>
      </c>
      <c r="AC233" s="80">
        <v>34.618265933506649</v>
      </c>
      <c r="AE233" s="10" t="s">
        <v>146</v>
      </c>
      <c r="AF233" s="78">
        <f>_xll.HumidairTdbRHPsi(H233,I233,M233,AE233)</f>
        <v>-7.0355202466838653</v>
      </c>
      <c r="AG233" s="81">
        <f t="shared" si="214"/>
        <v>29.964479753316134</v>
      </c>
      <c r="AH233" s="80">
        <v>29.964479753316134</v>
      </c>
      <c r="AJ233" s="10" t="s">
        <v>150</v>
      </c>
      <c r="AK233" s="84">
        <f>_xll.HumidairTdbRHPsi(H233,I233,M233,AJ233)</f>
        <v>0.76640673817620009</v>
      </c>
      <c r="AL233" s="58">
        <v>0.76640673817620009</v>
      </c>
      <c r="AN233" s="49">
        <f t="shared" si="204"/>
        <v>0.55427995998739898</v>
      </c>
      <c r="AO233" s="81">
        <f t="shared" si="215"/>
        <v>3.3760131277848417</v>
      </c>
      <c r="AP233" s="81">
        <f t="shared" si="205"/>
        <v>8.2467108576179271</v>
      </c>
      <c r="AR233" s="58">
        <v>0.55427995998739898</v>
      </c>
      <c r="AS233" s="155">
        <v>3.3760131277848417</v>
      </c>
      <c r="AT233" s="155">
        <v>8.2467108576179271</v>
      </c>
      <c r="AU233" s="140"/>
      <c r="AV233" s="49">
        <f t="shared" si="206"/>
        <v>8.0720040012601024E-2</v>
      </c>
      <c r="AW233" s="162">
        <f t="shared" si="207"/>
        <v>8.072004001260102E-5</v>
      </c>
      <c r="AX233" s="10">
        <f t="shared" si="208"/>
        <v>30</v>
      </c>
      <c r="AY233" s="55">
        <f t="shared" si="209"/>
        <v>2.0171937999148995E-3</v>
      </c>
      <c r="AZ233" s="55">
        <f t="shared" si="210"/>
        <v>1.1844943041191423E-3</v>
      </c>
      <c r="BB233" s="58">
        <v>8.0720040012601024E-2</v>
      </c>
      <c r="BC233" s="167">
        <v>8.072004001260102E-5</v>
      </c>
      <c r="BD233" s="168">
        <v>30</v>
      </c>
      <c r="BE233" s="170">
        <v>2.0171937999148995E-3</v>
      </c>
      <c r="BF233" s="171">
        <v>1.1844943041191423E-3</v>
      </c>
      <c r="BH233" s="81">
        <f t="shared" si="216"/>
        <v>364.86460358225634</v>
      </c>
      <c r="BI233" s="80">
        <v>364.86460358225634</v>
      </c>
      <c r="BK233" s="81">
        <f t="shared" si="217"/>
        <v>34.618265933506649</v>
      </c>
      <c r="BL233" s="81">
        <f t="shared" si="218"/>
        <v>29.964479753316134</v>
      </c>
      <c r="BM233" s="81">
        <f t="shared" si="219"/>
        <v>4.6537861801905152</v>
      </c>
      <c r="BN233" s="192">
        <f t="shared" si="220"/>
        <v>0.13443152205050701</v>
      </c>
      <c r="BO233" s="81">
        <f t="shared" si="221"/>
        <v>30</v>
      </c>
      <c r="BP233" s="49">
        <f t="shared" si="222"/>
        <v>4.0329456615152104</v>
      </c>
      <c r="BQ233" s="82">
        <f t="shared" si="223"/>
        <v>3404.7826549190031</v>
      </c>
      <c r="BS233" s="193">
        <v>5901.6232685262721</v>
      </c>
    </row>
    <row r="234" spans="1:71" x14ac:dyDescent="0.25">
      <c r="A234">
        <v>9</v>
      </c>
      <c r="C234" s="68" t="s">
        <v>39</v>
      </c>
      <c r="D234" s="10" t="s">
        <v>40</v>
      </c>
      <c r="E234" s="11" t="s">
        <v>41</v>
      </c>
      <c r="F234" s="33">
        <v>44521</v>
      </c>
      <c r="G234" s="29">
        <v>0.48055555555555557</v>
      </c>
      <c r="H234" s="28">
        <v>5</v>
      </c>
      <c r="I234" s="28">
        <v>80</v>
      </c>
      <c r="J234" s="28" t="s">
        <v>85</v>
      </c>
      <c r="K234" s="10">
        <v>62</v>
      </c>
      <c r="L234" s="47">
        <f t="shared" si="211"/>
        <v>100582.39802554256</v>
      </c>
      <c r="M234" s="10">
        <f t="shared" si="203"/>
        <v>1.0058239802554256</v>
      </c>
      <c r="N234" s="10" t="s">
        <v>15</v>
      </c>
      <c r="O234" s="10">
        <f>_xll.HumidairTdbRHPsi(H234,I234,M234,N234)</f>
        <v>4.3634633921748834E-3</v>
      </c>
      <c r="P234" s="49">
        <f t="shared" si="212"/>
        <v>4.3634633921748831</v>
      </c>
      <c r="Q234" s="31"/>
      <c r="R234" s="58">
        <v>4.3634633921748831</v>
      </c>
      <c r="S234" s="4"/>
      <c r="T234" s="10">
        <v>9</v>
      </c>
      <c r="U234" s="10" t="s">
        <v>144</v>
      </c>
      <c r="V234" s="78">
        <f>_xll.HumidairTdbRHPsi(H234, I234,M234,U234)</f>
        <v>1.8412122066744701</v>
      </c>
      <c r="W234" s="79">
        <v>1.8412122066744701</v>
      </c>
      <c r="X234" s="4"/>
      <c r="Y234" s="10">
        <v>9</v>
      </c>
      <c r="Z234" s="10" t="s">
        <v>145</v>
      </c>
      <c r="AA234" s="78">
        <f>_xll.HumidairTdbRHPsi(H234,I234,M234,Z234)</f>
        <v>15.980000858901144</v>
      </c>
      <c r="AB234" s="81">
        <f t="shared" si="213"/>
        <v>52.980000858901143</v>
      </c>
      <c r="AC234" s="80">
        <v>52.980000858901143</v>
      </c>
      <c r="AE234" s="10" t="s">
        <v>146</v>
      </c>
      <c r="AF234" s="78">
        <f>_xll.HumidairTdbRHPsi(H234,I234,M234,AE234)</f>
        <v>5.0313361481531658</v>
      </c>
      <c r="AG234" s="81">
        <f t="shared" si="214"/>
        <v>42.031336148153166</v>
      </c>
      <c r="AH234" s="80">
        <v>42.031336148153166</v>
      </c>
      <c r="AJ234" s="10" t="s">
        <v>150</v>
      </c>
      <c r="AK234" s="84">
        <f>_xll.HumidairTdbRHPsi(H234,I234,M234,AJ234)</f>
        <v>0.79341009535705609</v>
      </c>
      <c r="AL234" s="58">
        <v>0.79341009535705609</v>
      </c>
      <c r="AN234" s="49">
        <f t="shared" si="204"/>
        <v>0.53541528984352516</v>
      </c>
      <c r="AO234" s="81">
        <f t="shared" si="215"/>
        <v>8.1496802107577153</v>
      </c>
      <c r="AP234" s="81">
        <f t="shared" si="205"/>
        <v>19.907522197423418</v>
      </c>
      <c r="AR234" s="58">
        <v>0.53541528984352516</v>
      </c>
      <c r="AS234" s="155">
        <v>8.1496802107577153</v>
      </c>
      <c r="AT234" s="155">
        <v>19.907522197423418</v>
      </c>
      <c r="AU234" s="140"/>
      <c r="AV234" s="49">
        <f t="shared" si="206"/>
        <v>9.9584710156474854E-2</v>
      </c>
      <c r="AW234" s="162">
        <f t="shared" si="207"/>
        <v>9.9584710156474859E-5</v>
      </c>
      <c r="AX234" s="10">
        <f t="shared" si="208"/>
        <v>42</v>
      </c>
      <c r="AY234" s="55">
        <f t="shared" si="209"/>
        <v>3.4840706695344298E-3</v>
      </c>
      <c r="AZ234" s="55">
        <f t="shared" si="210"/>
        <v>2.045843023801779E-3</v>
      </c>
      <c r="BB234" s="58">
        <v>9.9584710156474854E-2</v>
      </c>
      <c r="BC234" s="167">
        <v>9.9584710156474859E-5</v>
      </c>
      <c r="BD234" s="168">
        <v>42</v>
      </c>
      <c r="BE234" s="170">
        <v>3.4840706695344298E-3</v>
      </c>
      <c r="BF234" s="171">
        <v>2.045843023801779E-3</v>
      </c>
      <c r="BH234" s="81">
        <f t="shared" si="216"/>
        <v>352.44660024345433</v>
      </c>
      <c r="BI234" s="80">
        <v>352.44660024345433</v>
      </c>
      <c r="BK234" s="81">
        <f t="shared" si="217"/>
        <v>52.980000858901143</v>
      </c>
      <c r="BL234" s="81">
        <f t="shared" si="218"/>
        <v>42.031336148153166</v>
      </c>
      <c r="BM234" s="81">
        <f t="shared" si="219"/>
        <v>10.948664710747977</v>
      </c>
      <c r="BN234" s="192">
        <f t="shared" si="220"/>
        <v>0.20665655970650099</v>
      </c>
      <c r="BO234" s="81">
        <f t="shared" si="221"/>
        <v>42</v>
      </c>
      <c r="BP234" s="49">
        <f t="shared" si="222"/>
        <v>8.6795755076730412</v>
      </c>
      <c r="BQ234" s="82">
        <f t="shared" si="223"/>
        <v>4242.5422706888985</v>
      </c>
      <c r="BS234" s="193">
        <v>3535.4518922407487</v>
      </c>
    </row>
    <row r="235" spans="1:71" x14ac:dyDescent="0.25">
      <c r="A235" s="5">
        <v>10</v>
      </c>
      <c r="B235" s="14"/>
      <c r="C235" s="12" t="s">
        <v>42</v>
      </c>
      <c r="D235" s="13" t="s">
        <v>43</v>
      </c>
      <c r="E235" s="8" t="s">
        <v>44</v>
      </c>
      <c r="F235" s="33">
        <v>44521</v>
      </c>
      <c r="G235" s="29">
        <v>0.44236111111111115</v>
      </c>
      <c r="H235" s="28">
        <v>0</v>
      </c>
      <c r="I235" s="28">
        <v>55</v>
      </c>
      <c r="J235" s="28" t="s">
        <v>75</v>
      </c>
      <c r="K235" s="10">
        <v>255</v>
      </c>
      <c r="L235" s="47">
        <f t="shared" si="211"/>
        <v>98298.910193542106</v>
      </c>
      <c r="M235" s="10">
        <f t="shared" si="203"/>
        <v>0.98298910193542111</v>
      </c>
      <c r="N235" s="10" t="s">
        <v>15</v>
      </c>
      <c r="O235" s="10">
        <f>_xll.HumidairTdbRHPsi(H235,I235,M235,N235)</f>
        <v>2.142398703046792E-3</v>
      </c>
      <c r="P235" s="49">
        <f t="shared" si="212"/>
        <v>2.1423987030467919</v>
      </c>
      <c r="Q235" s="31"/>
      <c r="R235" s="58">
        <v>2.1423987030467919</v>
      </c>
      <c r="S235" s="4"/>
      <c r="T235" s="10">
        <v>10</v>
      </c>
      <c r="U235" s="10" t="s">
        <v>144</v>
      </c>
      <c r="V235" s="78">
        <f>_xll.HumidairTdbRHPsi(H235, I235,M235,U235)</f>
        <v>-7.0719178926690915</v>
      </c>
      <c r="W235" s="79">
        <v>-7.0719178926690915</v>
      </c>
      <c r="X235" s="4"/>
      <c r="Y235" s="10">
        <v>10</v>
      </c>
      <c r="Z235" s="10" t="s">
        <v>145</v>
      </c>
      <c r="AA235" s="78">
        <f>_xll.HumidairTdbRHPsi(H235,I235,M235,Z235)</f>
        <v>5.3645067800147386</v>
      </c>
      <c r="AB235" s="81">
        <f t="shared" si="213"/>
        <v>42.364506780014736</v>
      </c>
      <c r="AC235" s="80">
        <v>42.364506780014736</v>
      </c>
      <c r="AE235" s="10" t="s">
        <v>146</v>
      </c>
      <c r="AF235" s="78">
        <f>_xll.HumidairTdbRHPsi(H235,I235,M235,AE235)</f>
        <v>8.386470681775603E-3</v>
      </c>
      <c r="AG235" s="81">
        <f t="shared" si="214"/>
        <v>37.008386470681778</v>
      </c>
      <c r="AH235" s="80">
        <v>37.008386470681778</v>
      </c>
      <c r="AJ235" s="10" t="s">
        <v>150</v>
      </c>
      <c r="AK235" s="84">
        <f>_xll.HumidairTdbRHPsi(H235,I235,M235,AJ235)</f>
        <v>0.79720787968354856</v>
      </c>
      <c r="AL235" s="58">
        <v>0.79720787968354856</v>
      </c>
      <c r="AN235" s="49">
        <f t="shared" si="204"/>
        <v>0.5328646479748832</v>
      </c>
      <c r="AO235" s="81">
        <f t="shared" si="215"/>
        <v>4.0205307505176711</v>
      </c>
      <c r="AP235" s="81">
        <f t="shared" si="205"/>
        <v>9.8210976494146855</v>
      </c>
      <c r="AR235" s="58">
        <v>0.5328646479748832</v>
      </c>
      <c r="AS235" s="155">
        <v>4.0205307505176711</v>
      </c>
      <c r="AT235" s="155">
        <v>9.8210976494146855</v>
      </c>
      <c r="AU235" s="140"/>
      <c r="AV235" s="49">
        <f t="shared" si="206"/>
        <v>0.10213535202511681</v>
      </c>
      <c r="AW235" s="162">
        <f t="shared" si="207"/>
        <v>1.021353520251168E-4</v>
      </c>
      <c r="AX235" s="10">
        <f t="shared" si="208"/>
        <v>37</v>
      </c>
      <c r="AY235" s="55">
        <f t="shared" si="209"/>
        <v>3.1479136847661249E-3</v>
      </c>
      <c r="AZ235" s="55">
        <f t="shared" si="210"/>
        <v>1.8484519581715355E-3</v>
      </c>
      <c r="BB235" s="58">
        <v>0.10213535202511681</v>
      </c>
      <c r="BC235" s="167">
        <v>1.021353520251168E-4</v>
      </c>
      <c r="BD235" s="168">
        <v>37</v>
      </c>
      <c r="BE235" s="170">
        <v>3.1479136847661249E-3</v>
      </c>
      <c r="BF235" s="171">
        <v>1.8484519581715355E-3</v>
      </c>
      <c r="BH235" s="81">
        <f t="shared" si="216"/>
        <v>350.76759504488376</v>
      </c>
      <c r="BI235" s="80">
        <v>350.76759504488376</v>
      </c>
      <c r="BK235" s="81">
        <f t="shared" si="217"/>
        <v>42.364506780014736</v>
      </c>
      <c r="BL235" s="81">
        <f t="shared" si="218"/>
        <v>37.008386470681778</v>
      </c>
      <c r="BM235" s="81">
        <f t="shared" si="219"/>
        <v>5.3561203093329581</v>
      </c>
      <c r="BN235" s="192">
        <f t="shared" si="220"/>
        <v>0.12642942681111735</v>
      </c>
      <c r="BO235" s="81">
        <f t="shared" si="221"/>
        <v>37</v>
      </c>
      <c r="BP235" s="49">
        <f t="shared" si="222"/>
        <v>4.6778887920113421</v>
      </c>
      <c r="BQ235" s="82">
        <f t="shared" si="223"/>
        <v>2530.706178936156</v>
      </c>
      <c r="BS235" s="193">
        <v>2667.5011075273001</v>
      </c>
    </row>
    <row r="236" spans="1:71" x14ac:dyDescent="0.25">
      <c r="A236">
        <v>11</v>
      </c>
      <c r="C236" s="9" t="s">
        <v>77</v>
      </c>
      <c r="D236" s="10" t="s">
        <v>78</v>
      </c>
      <c r="E236" s="11" t="s">
        <v>79</v>
      </c>
      <c r="F236" s="33">
        <v>44521</v>
      </c>
      <c r="G236" s="34">
        <v>0.69652777777777775</v>
      </c>
      <c r="H236" s="28">
        <v>28</v>
      </c>
      <c r="I236" s="28">
        <v>20</v>
      </c>
      <c r="J236" s="28" t="s">
        <v>131</v>
      </c>
      <c r="K236" s="10">
        <v>138</v>
      </c>
      <c r="L236" s="47">
        <f>+((101325*(1-(2.25577*10^-5)*(K236))^5.25588))</f>
        <v>99678.130068961269</v>
      </c>
      <c r="M236" s="10">
        <f t="shared" si="203"/>
        <v>0.99678130068961268</v>
      </c>
      <c r="N236" s="10" t="s">
        <v>15</v>
      </c>
      <c r="O236" s="10">
        <f>_xll.HumidairTdbRHPsi(H236,I236,M236,N236)</f>
        <v>4.7765426798028164E-3</v>
      </c>
      <c r="P236" s="49">
        <f>+O236*1000</f>
        <v>4.7765426798028168</v>
      </c>
      <c r="Q236" s="31"/>
      <c r="R236" s="58">
        <v>4.7765426798028168</v>
      </c>
      <c r="S236" s="4"/>
      <c r="T236" s="10">
        <v>11</v>
      </c>
      <c r="U236" s="10" t="s">
        <v>144</v>
      </c>
      <c r="V236" s="78">
        <f>_xll.HumidairTdbRHPsi(H236, I236,M236,U236)</f>
        <v>2.9755454478851675</v>
      </c>
      <c r="W236" s="79">
        <v>2.9755454478851675</v>
      </c>
      <c r="X236" s="4"/>
      <c r="Y236" s="10">
        <v>11</v>
      </c>
      <c r="Z236" s="10" t="s">
        <v>145</v>
      </c>
      <c r="AA236" s="78">
        <f>_xll.HumidairTdbRHPsi(H236,I236,M236,Z236)</f>
        <v>40.366550576102064</v>
      </c>
      <c r="AB236" s="81">
        <f t="shared" si="213"/>
        <v>77.366550576102071</v>
      </c>
      <c r="AC236" s="80">
        <v>77.366550576102071</v>
      </c>
      <c r="AE236" s="10" t="s">
        <v>146</v>
      </c>
      <c r="AF236" s="78">
        <f>_xll.HumidairTdbRHPsi(H236,I236,M236,AE236)</f>
        <v>28.175560820631969</v>
      </c>
      <c r="AG236" s="81">
        <f t="shared" si="214"/>
        <v>65.175560820631972</v>
      </c>
      <c r="AH236" s="80">
        <v>65.175560820631972</v>
      </c>
      <c r="AJ236" s="10" t="s">
        <v>150</v>
      </c>
      <c r="AK236" s="84">
        <f>_xll.HumidairTdbRHPsi(H236,I236,M236,AJ236)</f>
        <v>0.86701700017831085</v>
      </c>
      <c r="AL236" s="58">
        <v>0.86701700017831085</v>
      </c>
      <c r="AN236" s="49">
        <f t="shared" si="204"/>
        <v>0.48996028461150348</v>
      </c>
      <c r="AO236" s="81">
        <f t="shared" si="215"/>
        <v>9.7488364461829917</v>
      </c>
      <c r="AP236" s="81">
        <f t="shared" si="205"/>
        <v>23.813839676218929</v>
      </c>
      <c r="AR236" s="58">
        <v>0.48996028461150348</v>
      </c>
      <c r="AS236" s="155">
        <v>9.7488364461829917</v>
      </c>
      <c r="AT236" s="155">
        <v>23.813839676218929</v>
      </c>
      <c r="AU236" s="140"/>
      <c r="AV236" s="49">
        <f t="shared" si="206"/>
        <v>0.14503971538849653</v>
      </c>
      <c r="AW236" s="162">
        <f t="shared" si="207"/>
        <v>1.4503971538849653E-4</v>
      </c>
      <c r="AX236" s="10">
        <f t="shared" si="208"/>
        <v>65</v>
      </c>
      <c r="AY236" s="55">
        <f t="shared" si="209"/>
        <v>7.8531753897101448E-3</v>
      </c>
      <c r="AZ236" s="55">
        <f t="shared" si="210"/>
        <v>4.6113772106342599E-3</v>
      </c>
      <c r="BB236" s="58">
        <v>0.14503971538849653</v>
      </c>
      <c r="BC236" s="167">
        <v>1.4503971538849653E-4</v>
      </c>
      <c r="BD236" s="168">
        <v>65</v>
      </c>
      <c r="BE236" s="170">
        <v>7.8531753897101448E-3</v>
      </c>
      <c r="BF236" s="171">
        <v>4.6113772106342599E-3</v>
      </c>
      <c r="BH236" s="81">
        <f t="shared" si="216"/>
        <v>322.52503774426526</v>
      </c>
      <c r="BI236" s="80">
        <v>322.52503774426526</v>
      </c>
      <c r="BK236" s="81">
        <f t="shared" si="217"/>
        <v>77.366550576102071</v>
      </c>
      <c r="BL236" s="81">
        <f t="shared" si="218"/>
        <v>65.175560820631972</v>
      </c>
      <c r="BM236" s="81">
        <f t="shared" si="219"/>
        <v>12.190989755470099</v>
      </c>
      <c r="BN236" s="192">
        <f t="shared" si="220"/>
        <v>0.15757442544214711</v>
      </c>
      <c r="BO236" s="81">
        <f t="shared" si="221"/>
        <v>65</v>
      </c>
      <c r="BP236" s="49">
        <f t="shared" si="222"/>
        <v>10.242337653739563</v>
      </c>
      <c r="BQ236" s="82">
        <f t="shared" si="223"/>
        <v>2221.1016765489908</v>
      </c>
      <c r="BS236" s="193">
        <v>2596.9804218111276</v>
      </c>
    </row>
    <row r="237" spans="1:71" x14ac:dyDescent="0.25">
      <c r="A237">
        <v>12</v>
      </c>
      <c r="B237" s="1" t="s">
        <v>48</v>
      </c>
      <c r="C237" s="9" t="s">
        <v>45</v>
      </c>
      <c r="D237" s="10" t="s">
        <v>46</v>
      </c>
      <c r="E237" s="11" t="s">
        <v>47</v>
      </c>
      <c r="F237" s="33">
        <v>44521</v>
      </c>
      <c r="G237" s="29">
        <v>0.73611111111111116</v>
      </c>
      <c r="H237" s="28">
        <v>25</v>
      </c>
      <c r="I237" s="28">
        <v>88</v>
      </c>
      <c r="J237" s="28" t="s">
        <v>130</v>
      </c>
      <c r="K237" s="10">
        <v>30</v>
      </c>
      <c r="L237" s="47">
        <f>+((101325*(1-(2.25577*10^-5)*(K237))^5.25588))</f>
        <v>100965.12412724759</v>
      </c>
      <c r="M237" s="10">
        <f t="shared" si="203"/>
        <v>1.0096512412724759</v>
      </c>
      <c r="N237" s="10" t="s">
        <v>15</v>
      </c>
      <c r="O237" s="10">
        <f>_xll.HumidairTdbRHPsi(H237,I237,M237,N237)</f>
        <v>1.7744821291585004E-2</v>
      </c>
      <c r="P237" s="49">
        <f>+O237*1000</f>
        <v>17.744821291585005</v>
      </c>
      <c r="Q237" s="31"/>
      <c r="R237" s="58">
        <v>17.744821291585005</v>
      </c>
      <c r="S237" s="4"/>
      <c r="T237" s="10">
        <v>12</v>
      </c>
      <c r="U237" s="10" t="s">
        <v>144</v>
      </c>
      <c r="V237" s="78">
        <f>_xll.HumidairTdbRHPsi(H237, I237,M237,U237)</f>
        <v>22.873946468086956</v>
      </c>
      <c r="W237" s="79">
        <v>22.873946468086956</v>
      </c>
      <c r="X237" s="4"/>
      <c r="Y237" s="10">
        <v>12</v>
      </c>
      <c r="Z237" s="10" t="s">
        <v>145</v>
      </c>
      <c r="AA237" s="78">
        <f>_xll.HumidairTdbRHPsi(H237,I237,M237,Z237)</f>
        <v>70.32842155026718</v>
      </c>
      <c r="AB237" s="81">
        <f t="shared" si="213"/>
        <v>107.32842155026718</v>
      </c>
      <c r="AC237" s="80">
        <v>107.32842155026718</v>
      </c>
      <c r="AE237" s="10" t="s">
        <v>146</v>
      </c>
      <c r="AF237" s="78">
        <f>_xll.HumidairTdbRHPsi(H237,I237,M237,AE237)</f>
        <v>25.153197145646878</v>
      </c>
      <c r="AG237" s="81">
        <f t="shared" si="214"/>
        <v>62.153197145646878</v>
      </c>
      <c r="AH237" s="80">
        <v>62.153197145646878</v>
      </c>
      <c r="AJ237" s="10" t="s">
        <v>150</v>
      </c>
      <c r="AK237" s="84">
        <f>_xll.HumidairTdbRHPsi(H237,I237,M237,AJ237)</f>
        <v>0.84741250590286754</v>
      </c>
      <c r="AL237" s="58">
        <v>0.84741250590286754</v>
      </c>
      <c r="AN237" s="49">
        <f t="shared" si="204"/>
        <v>0.50129528796341505</v>
      </c>
      <c r="AO237" s="81">
        <f t="shared" si="215"/>
        <v>35.397941527988266</v>
      </c>
      <c r="AP237" s="81">
        <f t="shared" si="205"/>
        <v>86.467847631778994</v>
      </c>
      <c r="AR237" s="58">
        <v>0.50129528796341505</v>
      </c>
      <c r="AS237" s="155">
        <v>35.397941527988266</v>
      </c>
      <c r="AT237" s="155">
        <v>86.467847631778994</v>
      </c>
      <c r="AU237" s="140"/>
      <c r="AV237" s="49">
        <f t="shared" si="206"/>
        <v>0.13370471203658496</v>
      </c>
      <c r="AW237" s="162">
        <f t="shared" si="207"/>
        <v>1.3370471203658497E-4</v>
      </c>
      <c r="AX237" s="10">
        <f t="shared" si="208"/>
        <v>62</v>
      </c>
      <c r="AY237" s="55">
        <f t="shared" si="209"/>
        <v>6.9053135578414672E-3</v>
      </c>
      <c r="AZ237" s="55">
        <f t="shared" si="210"/>
        <v>4.054793633494696E-3</v>
      </c>
      <c r="BB237" s="58">
        <v>0.13370471203658496</v>
      </c>
      <c r="BC237" s="167">
        <v>1.3370471203658497E-4</v>
      </c>
      <c r="BD237" s="168">
        <v>62</v>
      </c>
      <c r="BE237" s="170">
        <v>6.9053135578414672E-3</v>
      </c>
      <c r="BF237" s="171">
        <v>4.054793633494696E-3</v>
      </c>
      <c r="BH237" s="81">
        <f t="shared" si="216"/>
        <v>329.98650451764962</v>
      </c>
      <c r="BI237" s="80">
        <v>329.98650451764962</v>
      </c>
      <c r="BK237" s="81">
        <f t="shared" si="217"/>
        <v>107.32842155026718</v>
      </c>
      <c r="BL237" s="81">
        <f t="shared" si="218"/>
        <v>62.153197145646878</v>
      </c>
      <c r="BM237" s="81">
        <f t="shared" si="219"/>
        <v>45.175224404620302</v>
      </c>
      <c r="BN237" s="192">
        <f t="shared" si="220"/>
        <v>0.42090644539538413</v>
      </c>
      <c r="BO237" s="81">
        <f t="shared" si="221"/>
        <v>62</v>
      </c>
      <c r="BP237" s="49">
        <f t="shared" si="222"/>
        <v>26.096199614513814</v>
      </c>
      <c r="BQ237" s="82">
        <f t="shared" si="223"/>
        <v>6435.8884750497991</v>
      </c>
      <c r="BS237" s="193">
        <v>7058.7163919901031</v>
      </c>
    </row>
    <row r="238" spans="1:71" x14ac:dyDescent="0.25">
      <c r="A238">
        <v>13</v>
      </c>
      <c r="C238" s="26" t="s">
        <v>49</v>
      </c>
      <c r="D238" s="27" t="s">
        <v>50</v>
      </c>
      <c r="E238" s="10" t="s">
        <v>51</v>
      </c>
      <c r="F238" s="33">
        <v>44522</v>
      </c>
      <c r="G238" s="29">
        <v>3.1944444444444449E-2</v>
      </c>
      <c r="H238" s="28">
        <v>27</v>
      </c>
      <c r="I238" s="28">
        <v>80</v>
      </c>
      <c r="J238" s="28" t="s">
        <v>85</v>
      </c>
      <c r="K238" s="10">
        <v>3</v>
      </c>
      <c r="L238" s="47">
        <f>+((101325*(1-(2.25577*10^-5)*(K238))^5.25588))</f>
        <v>101288.96574192833</v>
      </c>
      <c r="M238" s="10">
        <f t="shared" si="203"/>
        <v>1.0128896574192834</v>
      </c>
      <c r="N238" s="10" t="s">
        <v>15</v>
      </c>
      <c r="O238" s="10">
        <f>_xll.HumidairTdbRHPsi(H238,I238,M238,N238)</f>
        <v>1.8111571383800696E-2</v>
      </c>
      <c r="P238" s="49">
        <f>+O238*1000</f>
        <v>18.111571383800698</v>
      </c>
      <c r="Q238" s="31"/>
      <c r="R238" s="58">
        <v>18.111571383800698</v>
      </c>
      <c r="S238" s="4"/>
      <c r="T238" s="10">
        <v>13</v>
      </c>
      <c r="U238" s="10" t="s">
        <v>144</v>
      </c>
      <c r="V238" s="78">
        <f>_xll.HumidairTdbRHPsi(H238, I238,M238,U238)</f>
        <v>23.255217653904424</v>
      </c>
      <c r="W238" s="79">
        <v>23.255217653904424</v>
      </c>
      <c r="X238" s="4"/>
      <c r="Y238" s="10">
        <v>13</v>
      </c>
      <c r="Z238" s="10" t="s">
        <v>145</v>
      </c>
      <c r="AA238" s="78">
        <f>_xll.HumidairTdbRHPsi(H238,I238,M238,Z238)</f>
        <v>73.342285886999719</v>
      </c>
      <c r="AB238" s="81">
        <f t="shared" si="213"/>
        <v>110.34228588699972</v>
      </c>
      <c r="AC238" s="80">
        <v>110.34228588699972</v>
      </c>
      <c r="AE238" s="10" t="s">
        <v>146</v>
      </c>
      <c r="AF238" s="78">
        <f>_xll.HumidairTdbRHPsi(H238,I238,M238,AE238)</f>
        <v>27.165399741037799</v>
      </c>
      <c r="AG238" s="81">
        <f t="shared" si="214"/>
        <v>64.165399741037803</v>
      </c>
      <c r="AH238" s="80">
        <v>64.165399741037803</v>
      </c>
      <c r="AJ238" s="10" t="s">
        <v>150</v>
      </c>
      <c r="AK238" s="84">
        <f>_xll.HumidairTdbRHPsi(H238,I238,M238,AJ238)</f>
        <v>0.85038396560416896</v>
      </c>
      <c r="AL238" s="58">
        <v>0.85038396560416896</v>
      </c>
      <c r="AN238" s="49">
        <f t="shared" si="204"/>
        <v>0.49954363364385446</v>
      </c>
      <c r="AO238" s="81">
        <f t="shared" si="215"/>
        <v>36.256235019328052</v>
      </c>
      <c r="AP238" s="81">
        <f t="shared" si="205"/>
        <v>88.564432563810598</v>
      </c>
      <c r="AR238" s="58">
        <v>0.49954363364385446</v>
      </c>
      <c r="AS238" s="155">
        <v>36.256235019328052</v>
      </c>
      <c r="AT238" s="155">
        <v>88.564432563810598</v>
      </c>
      <c r="AU238" s="140"/>
      <c r="AV238" s="49">
        <f t="shared" si="206"/>
        <v>0.13545636635614555</v>
      </c>
      <c r="AW238" s="162">
        <f t="shared" si="207"/>
        <v>1.3545636635614556E-4</v>
      </c>
      <c r="AX238" s="10">
        <f t="shared" si="208"/>
        <v>64</v>
      </c>
      <c r="AY238" s="55">
        <f t="shared" si="209"/>
        <v>7.221449803178832E-3</v>
      </c>
      <c r="AZ238" s="55">
        <f t="shared" si="210"/>
        <v>4.2404285397409465E-3</v>
      </c>
      <c r="BB238" s="58">
        <v>0.13545636635614555</v>
      </c>
      <c r="BC238" s="167">
        <v>1.3545636635614556E-4</v>
      </c>
      <c r="BD238" s="168">
        <v>64</v>
      </c>
      <c r="BE238" s="170">
        <v>7.221449803178832E-3</v>
      </c>
      <c r="BF238" s="171">
        <v>4.2404285397409465E-3</v>
      </c>
      <c r="BH238" s="81">
        <f t="shared" si="216"/>
        <v>328.833447028553</v>
      </c>
      <c r="BI238" s="80">
        <v>328.833447028553</v>
      </c>
      <c r="BK238" s="81">
        <f t="shared" si="217"/>
        <v>110.34228588699972</v>
      </c>
      <c r="BL238" s="81">
        <f t="shared" si="218"/>
        <v>64.165399741037803</v>
      </c>
      <c r="BM238" s="81">
        <f t="shared" si="219"/>
        <v>46.176886145961916</v>
      </c>
      <c r="BN238" s="192">
        <f t="shared" si="220"/>
        <v>0.41848767020515726</v>
      </c>
      <c r="BO238" s="81">
        <f t="shared" si="221"/>
        <v>64</v>
      </c>
      <c r="BP238" s="49">
        <f t="shared" si="222"/>
        <v>26.783210893130065</v>
      </c>
      <c r="BQ238" s="82">
        <f t="shared" si="223"/>
        <v>6316.1566436316571</v>
      </c>
      <c r="BS238" s="193">
        <v>6118.7767485181676</v>
      </c>
    </row>
    <row r="239" spans="1:71" x14ac:dyDescent="0.25">
      <c r="A239" s="5">
        <v>14</v>
      </c>
      <c r="B239" s="14"/>
      <c r="C239" s="9" t="s">
        <v>172</v>
      </c>
      <c r="D239" s="10" t="s">
        <v>83</v>
      </c>
      <c r="E239" s="10" t="s">
        <v>84</v>
      </c>
      <c r="F239" s="33">
        <v>44521</v>
      </c>
      <c r="G239" s="29">
        <v>0.8222222222222223</v>
      </c>
      <c r="H239" s="28">
        <v>28</v>
      </c>
      <c r="I239" s="28">
        <v>70</v>
      </c>
      <c r="J239" s="28" t="s">
        <v>95</v>
      </c>
      <c r="K239" s="10">
        <v>61</v>
      </c>
      <c r="L239" s="47">
        <f>+((101325*(1-(2.25577*10^-5)*(K239))^5.25588))</f>
        <v>100594.34040699142</v>
      </c>
      <c r="M239" s="10">
        <f t="shared" si="203"/>
        <v>1.0059434040699142</v>
      </c>
      <c r="N239" s="10" t="s">
        <v>15</v>
      </c>
      <c r="O239" s="10">
        <f>_xll.HumidairTdbRHPsi(H239,I239,M239,N239)</f>
        <v>1.6886132264577712E-2</v>
      </c>
      <c r="P239" s="49">
        <f>+O239*1000</f>
        <v>16.886132264577711</v>
      </c>
      <c r="Q239" s="31"/>
      <c r="R239" s="58">
        <v>16.886132264577711</v>
      </c>
      <c r="S239" s="4"/>
      <c r="T239" s="10">
        <v>14</v>
      </c>
      <c r="U239" s="10" t="s">
        <v>144</v>
      </c>
      <c r="V239" s="78">
        <f>_xll.HumidairTdbRHPsi(H239, I239,M239,U239)</f>
        <v>22.020080994106252</v>
      </c>
      <c r="W239" s="79">
        <v>22.020080994106252</v>
      </c>
      <c r="X239" s="4"/>
      <c r="Y239" s="10">
        <v>14</v>
      </c>
      <c r="Z239" s="10" t="s">
        <v>145</v>
      </c>
      <c r="AA239" s="78">
        <f>_xll.HumidairTdbRHPsi(H239,I239,M239,Z239)</f>
        <v>71.259338644395854</v>
      </c>
      <c r="AB239" s="81">
        <f t="shared" si="213"/>
        <v>108.25933864439585</v>
      </c>
      <c r="AC239" s="80">
        <v>108.25933864439585</v>
      </c>
      <c r="AE239" s="10" t="s">
        <v>146</v>
      </c>
      <c r="AF239" s="78">
        <f>_xll.HumidairTdbRHPsi(H239,I239,M239,AE239)</f>
        <v>28.173494377162616</v>
      </c>
      <c r="AG239" s="81">
        <f t="shared" si="214"/>
        <v>65.173494377162612</v>
      </c>
      <c r="AH239" s="80">
        <v>65.173494377162612</v>
      </c>
      <c r="AJ239" s="10" t="s">
        <v>150</v>
      </c>
      <c r="AK239" s="84">
        <f>_xll.HumidairTdbRHPsi(H239,I239,M239,AJ239)</f>
        <v>0.85911805434803001</v>
      </c>
      <c r="AL239" s="58">
        <v>0.85911805434803001</v>
      </c>
      <c r="AN239" s="49">
        <f t="shared" si="204"/>
        <v>0.49446510176387054</v>
      </c>
      <c r="AO239" s="81">
        <f t="shared" si="215"/>
        <v>34.150301415288965</v>
      </c>
      <c r="AP239" s="81">
        <f t="shared" si="205"/>
        <v>83.420191454402683</v>
      </c>
      <c r="AR239" s="58">
        <v>0.49446510176387054</v>
      </c>
      <c r="AS239" s="155">
        <v>34.150301415288965</v>
      </c>
      <c r="AT239" s="155">
        <v>83.420191454402683</v>
      </c>
      <c r="AU239" s="140"/>
      <c r="AV239" s="49">
        <f t="shared" si="206"/>
        <v>0.14053489823612947</v>
      </c>
      <c r="AW239" s="162">
        <f t="shared" si="207"/>
        <v>1.4053489823612946E-4</v>
      </c>
      <c r="AX239" s="10">
        <f t="shared" si="208"/>
        <v>65</v>
      </c>
      <c r="AY239" s="55">
        <f t="shared" si="209"/>
        <v>7.6092620649952291E-3</v>
      </c>
      <c r="AZ239" s="55">
        <f t="shared" si="210"/>
        <v>4.4681515355227417E-3</v>
      </c>
      <c r="BB239" s="58">
        <v>0.14053489823612947</v>
      </c>
      <c r="BC239" s="167">
        <v>1.4053489823612946E-4</v>
      </c>
      <c r="BD239" s="168">
        <v>65</v>
      </c>
      <c r="BE239" s="170">
        <v>7.6092620649952291E-3</v>
      </c>
      <c r="BF239" s="171">
        <v>4.4681515355227417E-3</v>
      </c>
      <c r="BH239" s="81">
        <f t="shared" si="216"/>
        <v>325.49041344456356</v>
      </c>
      <c r="BI239" s="80">
        <v>325.49041344456356</v>
      </c>
      <c r="BK239" s="81">
        <f t="shared" si="217"/>
        <v>108.25933864439585</v>
      </c>
      <c r="BL239" s="81">
        <f t="shared" si="218"/>
        <v>65.173494377162612</v>
      </c>
      <c r="BM239" s="81">
        <f t="shared" si="219"/>
        <v>43.085844267233242</v>
      </c>
      <c r="BN239" s="192">
        <f t="shared" si="220"/>
        <v>0.39798732198761333</v>
      </c>
      <c r="BO239" s="81">
        <f t="shared" si="221"/>
        <v>65</v>
      </c>
      <c r="BP239" s="49">
        <f t="shared" si="222"/>
        <v>25.869175929194867</v>
      </c>
      <c r="BQ239" s="82">
        <f t="shared" si="223"/>
        <v>5789.6818681124605</v>
      </c>
      <c r="BS239" s="193">
        <v>6145.969983073227</v>
      </c>
    </row>
    <row r="240" spans="1:71" x14ac:dyDescent="0.25">
      <c r="A240">
        <v>15</v>
      </c>
      <c r="C240" s="9" t="s">
        <v>52</v>
      </c>
      <c r="D240" s="10" t="s">
        <v>53</v>
      </c>
      <c r="E240" s="10" t="s">
        <v>54</v>
      </c>
      <c r="F240" s="33">
        <v>44521</v>
      </c>
      <c r="G240" s="29">
        <v>0.56874999999999998</v>
      </c>
      <c r="H240" s="28">
        <v>27</v>
      </c>
      <c r="I240" s="28">
        <v>32</v>
      </c>
      <c r="J240" s="28" t="s">
        <v>90</v>
      </c>
      <c r="K240" s="10">
        <v>533</v>
      </c>
      <c r="L240" s="47">
        <f t="shared" ref="L240:L245" si="224">+((101325*(1-(2.25577*10^-5)*(K240))^5.25588))</f>
        <v>95083.68775760736</v>
      </c>
      <c r="M240" s="10">
        <f t="shared" si="203"/>
        <v>0.9508368775760736</v>
      </c>
      <c r="N240" s="10" t="s">
        <v>15</v>
      </c>
      <c r="O240" s="10">
        <f>_xll.HumidairTdbRHPsi(H240,I240,M240,N240)</f>
        <v>7.5892283634474414E-3</v>
      </c>
      <c r="P240" s="49">
        <f t="shared" ref="P240:P245" si="225">+O240*1000</f>
        <v>7.5892283634474413</v>
      </c>
      <c r="Q240" s="31"/>
      <c r="R240" s="58">
        <v>7.5892283634474413</v>
      </c>
      <c r="S240" s="4"/>
      <c r="T240" s="10">
        <v>15</v>
      </c>
      <c r="U240" s="10" t="s">
        <v>144</v>
      </c>
      <c r="V240" s="78">
        <f>_xll.HumidairTdbRHPsi(H240, I240,M240,U240)</f>
        <v>8.9201606836980432</v>
      </c>
      <c r="W240" s="79">
        <v>8.9201606836980432</v>
      </c>
      <c r="X240" s="4"/>
      <c r="Y240" s="10">
        <v>15</v>
      </c>
      <c r="Z240" s="10" t="s">
        <v>145</v>
      </c>
      <c r="AA240" s="78">
        <f>_xll.HumidairTdbRHPsi(H240,I240,M240,Z240)</f>
        <v>46.53414437157678</v>
      </c>
      <c r="AB240" s="81">
        <f t="shared" si="213"/>
        <v>83.534144371576787</v>
      </c>
      <c r="AC240" s="80">
        <v>83.534144371576787</v>
      </c>
      <c r="AE240" s="10" t="s">
        <v>146</v>
      </c>
      <c r="AF240" s="78">
        <f>_xll.HumidairTdbRHPsi(H240,I240,M240,AE240)</f>
        <v>27.179497796962767</v>
      </c>
      <c r="AG240" s="81">
        <f t="shared" si="214"/>
        <v>64.179497796962764</v>
      </c>
      <c r="AH240" s="80">
        <v>64.179497796962764</v>
      </c>
      <c r="AJ240" s="10" t="s">
        <v>150</v>
      </c>
      <c r="AK240" s="84">
        <f>_xll.HumidairTdbRHPsi(H240,I240,M240,AJ240)</f>
        <v>0.90589712884017792</v>
      </c>
      <c r="AL240" s="58">
        <v>0.90589712884017792</v>
      </c>
      <c r="AN240" s="49">
        <f t="shared" si="204"/>
        <v>0.46893171713023807</v>
      </c>
      <c r="AO240" s="81">
        <f t="shared" si="215"/>
        <v>16.184079869649036</v>
      </c>
      <c r="AP240" s="81">
        <f t="shared" si="205"/>
        <v>39.533444370568326</v>
      </c>
      <c r="AR240" s="58">
        <v>0.46893171713023807</v>
      </c>
      <c r="AS240" s="155">
        <v>16.184079869649036</v>
      </c>
      <c r="AT240" s="155">
        <v>39.533444370568326</v>
      </c>
      <c r="AU240" s="140"/>
      <c r="AV240" s="49">
        <f t="shared" si="206"/>
        <v>0.16606828286976194</v>
      </c>
      <c r="AW240" s="162">
        <f t="shared" si="207"/>
        <v>1.6606828286976194E-4</v>
      </c>
      <c r="AX240" s="10">
        <f t="shared" si="208"/>
        <v>64</v>
      </c>
      <c r="AY240" s="55">
        <f t="shared" si="209"/>
        <v>8.8534322963527475E-3</v>
      </c>
      <c r="AZ240" s="55">
        <f t="shared" si="210"/>
        <v>5.1987271264549309E-3</v>
      </c>
      <c r="BB240" s="58">
        <v>0.16606828286976194</v>
      </c>
      <c r="BC240" s="167">
        <v>1.6606828286976194E-4</v>
      </c>
      <c r="BD240" s="168">
        <v>64</v>
      </c>
      <c r="BE240" s="170">
        <v>8.8534322963527475E-3</v>
      </c>
      <c r="BF240" s="171">
        <v>5.1987271264549309E-3</v>
      </c>
      <c r="BH240" s="81">
        <f t="shared" si="216"/>
        <v>308.68261064636141</v>
      </c>
      <c r="BI240" s="80">
        <v>308.68261064636141</v>
      </c>
      <c r="BK240" s="81">
        <f t="shared" si="217"/>
        <v>83.534144371576787</v>
      </c>
      <c r="BL240" s="81">
        <f t="shared" si="218"/>
        <v>64.179497796962764</v>
      </c>
      <c r="BM240" s="81">
        <f t="shared" si="219"/>
        <v>19.354646574614023</v>
      </c>
      <c r="BN240" s="192">
        <f t="shared" si="220"/>
        <v>0.23169743007746194</v>
      </c>
      <c r="BO240" s="81">
        <f t="shared" si="221"/>
        <v>64</v>
      </c>
      <c r="BP240" s="49">
        <f t="shared" si="222"/>
        <v>14.828635524957564</v>
      </c>
      <c r="BQ240" s="82">
        <f t="shared" si="223"/>
        <v>2852.3588879090435</v>
      </c>
      <c r="BS240" s="193">
        <v>2540.3821345439919</v>
      </c>
    </row>
    <row r="241" spans="1:71" x14ac:dyDescent="0.25">
      <c r="A241">
        <v>16</v>
      </c>
      <c r="C241" s="9" t="s">
        <v>55</v>
      </c>
      <c r="D241" s="10" t="s">
        <v>56</v>
      </c>
      <c r="E241" s="11" t="s">
        <v>57</v>
      </c>
      <c r="F241" s="33">
        <v>44521</v>
      </c>
      <c r="G241" s="29">
        <v>0.77638888888888891</v>
      </c>
      <c r="H241" s="28">
        <v>21</v>
      </c>
      <c r="I241" s="28">
        <v>82</v>
      </c>
      <c r="J241" s="28" t="s">
        <v>127</v>
      </c>
      <c r="K241" s="10">
        <v>61</v>
      </c>
      <c r="L241" s="47">
        <f t="shared" si="224"/>
        <v>100594.34040699142</v>
      </c>
      <c r="M241" s="10">
        <f t="shared" si="203"/>
        <v>1.0059434040699142</v>
      </c>
      <c r="N241" s="10" t="s">
        <v>15</v>
      </c>
      <c r="O241" s="10">
        <f>_xll.HumidairTdbRHPsi(H241,I241,M241,N241)</f>
        <v>1.2927348715887131E-2</v>
      </c>
      <c r="P241" s="49">
        <f t="shared" si="225"/>
        <v>12.927348715887131</v>
      </c>
      <c r="Q241" s="31"/>
      <c r="R241" s="58">
        <v>12.927348715887131</v>
      </c>
      <c r="S241" s="4"/>
      <c r="T241" s="10">
        <v>16</v>
      </c>
      <c r="U241" s="10" t="s">
        <v>144</v>
      </c>
      <c r="V241" s="78">
        <f>_xll.HumidairTdbRHPsi(H241, I241,M241,U241)</f>
        <v>17.812112847140043</v>
      </c>
      <c r="W241" s="79">
        <v>17.812112847140043</v>
      </c>
      <c r="X241" s="4"/>
      <c r="Y241" s="10">
        <v>16</v>
      </c>
      <c r="Z241" s="10" t="s">
        <v>145</v>
      </c>
      <c r="AA241" s="78">
        <f>_xll.HumidairTdbRHPsi(H241,I241,M241,Z241)</f>
        <v>53.945761287259145</v>
      </c>
      <c r="AB241" s="81">
        <f t="shared" si="213"/>
        <v>90.945761287259145</v>
      </c>
      <c r="AC241" s="80">
        <v>90.945761287259145</v>
      </c>
      <c r="AE241" s="10" t="s">
        <v>146</v>
      </c>
      <c r="AF241" s="78">
        <f>_xll.HumidairTdbRHPsi(H241,I241,M241,AE241)</f>
        <v>21.128606014943504</v>
      </c>
      <c r="AG241" s="81">
        <f t="shared" si="214"/>
        <v>58.1286060149435</v>
      </c>
      <c r="AH241" s="80">
        <v>58.1286060149435</v>
      </c>
      <c r="AJ241" s="10" t="s">
        <v>150</v>
      </c>
      <c r="AK241" s="84">
        <f>_xll.HumidairTdbRHPsi(H241,I241,M241,AJ241)</f>
        <v>0.83909472406394281</v>
      </c>
      <c r="AL241" s="58">
        <v>0.83909472406394281</v>
      </c>
      <c r="AN241" s="49">
        <f t="shared" si="204"/>
        <v>0.50626453007944927</v>
      </c>
      <c r="AO241" s="81">
        <f t="shared" si="215"/>
        <v>25.534770752867896</v>
      </c>
      <c r="AP241" s="81">
        <f t="shared" si="205"/>
        <v>62.374719304669952</v>
      </c>
      <c r="AR241" s="58">
        <v>0.50626453007944927</v>
      </c>
      <c r="AS241" s="155">
        <v>25.534770752867896</v>
      </c>
      <c r="AT241" s="155">
        <v>62.374719304669952</v>
      </c>
      <c r="AU241" s="140"/>
      <c r="AV241" s="49">
        <f t="shared" si="206"/>
        <v>0.12873546992055074</v>
      </c>
      <c r="AW241" s="162">
        <f t="shared" si="207"/>
        <v>1.2873546992055073E-4</v>
      </c>
      <c r="AX241" s="10">
        <f t="shared" si="208"/>
        <v>58</v>
      </c>
      <c r="AY241" s="55">
        <f t="shared" si="209"/>
        <v>6.2197254937414875E-3</v>
      </c>
      <c r="AZ241" s="55">
        <f t="shared" si="210"/>
        <v>3.6522169663778551E-3</v>
      </c>
      <c r="BB241" s="58">
        <v>0.12873546992055074</v>
      </c>
      <c r="BC241" s="167">
        <v>1.2873546992055073E-4</v>
      </c>
      <c r="BD241" s="168">
        <v>58</v>
      </c>
      <c r="BE241" s="170">
        <v>6.2197254937414875E-3</v>
      </c>
      <c r="BF241" s="171">
        <v>3.6522169663778551E-3</v>
      </c>
      <c r="BH241" s="81">
        <f t="shared" si="216"/>
        <v>333.25759617828311</v>
      </c>
      <c r="BI241" s="80">
        <v>333.25759617828311</v>
      </c>
      <c r="BK241" s="81">
        <f t="shared" si="217"/>
        <v>90.945761287259145</v>
      </c>
      <c r="BL241" s="81">
        <f t="shared" si="218"/>
        <v>58.1286060149435</v>
      </c>
      <c r="BM241" s="81">
        <f t="shared" si="219"/>
        <v>32.817155272315645</v>
      </c>
      <c r="BN241" s="192">
        <f t="shared" si="220"/>
        <v>0.36084315319171556</v>
      </c>
      <c r="BO241" s="81">
        <f t="shared" si="221"/>
        <v>58</v>
      </c>
      <c r="BP241" s="49">
        <f t="shared" si="222"/>
        <v>20.928902885119502</v>
      </c>
      <c r="BQ241" s="82">
        <f t="shared" si="223"/>
        <v>5730.4653797378523</v>
      </c>
      <c r="BS241" s="193">
        <v>5631.664252500992</v>
      </c>
    </row>
    <row r="242" spans="1:71" x14ac:dyDescent="0.25">
      <c r="A242">
        <v>17</v>
      </c>
      <c r="B242" s="1" t="s">
        <v>58</v>
      </c>
      <c r="C242" s="15" t="s">
        <v>59</v>
      </c>
      <c r="D242" s="16" t="s">
        <v>60</v>
      </c>
      <c r="E242" s="4" t="s">
        <v>61</v>
      </c>
      <c r="F242" s="33">
        <v>44522</v>
      </c>
      <c r="G242" s="29">
        <v>0.14930555555555555</v>
      </c>
      <c r="H242" s="28">
        <v>12</v>
      </c>
      <c r="I242" s="28">
        <v>82</v>
      </c>
      <c r="J242" s="36" t="s">
        <v>85</v>
      </c>
      <c r="K242" s="10">
        <v>9</v>
      </c>
      <c r="L242" s="47">
        <f t="shared" si="224"/>
        <v>101216.9283556498</v>
      </c>
      <c r="M242" s="10">
        <f t="shared" si="203"/>
        <v>1.0121692835564979</v>
      </c>
      <c r="N242" s="10" t="s">
        <v>15</v>
      </c>
      <c r="O242" s="10">
        <f>_xll.HumidairTdbRHPsi(H242,I242,M242,N242)</f>
        <v>7.1773580821645347E-3</v>
      </c>
      <c r="P242" s="49">
        <f t="shared" si="225"/>
        <v>7.1773580821645346</v>
      </c>
      <c r="Q242" s="31"/>
      <c r="R242" s="58">
        <v>7.1773580821645346</v>
      </c>
      <c r="S242" s="4"/>
      <c r="T242" s="10">
        <v>17</v>
      </c>
      <c r="U242" s="10" t="s">
        <v>144</v>
      </c>
      <c r="V242" s="78">
        <f>_xll.HumidairTdbRHPsi(H242, I242,M242,U242)</f>
        <v>9.0262810853712949</v>
      </c>
      <c r="W242" s="79">
        <v>9.0262810853712949</v>
      </c>
      <c r="X242" s="4"/>
      <c r="Y242" s="10">
        <v>17</v>
      </c>
      <c r="Z242" s="10" t="s">
        <v>145</v>
      </c>
      <c r="AA242" s="78">
        <f>_xll.HumidairTdbRHPsi(H242,I242,M242,Z242)</f>
        <v>30.173186349893175</v>
      </c>
      <c r="AB242" s="81">
        <f t="shared" si="213"/>
        <v>67.173186349893172</v>
      </c>
      <c r="AC242" s="80">
        <v>67.173186349893172</v>
      </c>
      <c r="AE242" s="10" t="s">
        <v>146</v>
      </c>
      <c r="AF242" s="78">
        <f>_xll.HumidairTdbRHPsi(H242,I242,M242,AE242)</f>
        <v>12.071520699860102</v>
      </c>
      <c r="AG242" s="81">
        <f t="shared" si="214"/>
        <v>49.071520699860102</v>
      </c>
      <c r="AH242" s="80">
        <v>49.071520699860102</v>
      </c>
      <c r="AJ242" s="10" t="s">
        <v>150</v>
      </c>
      <c r="AK242" s="84">
        <f>_xll.HumidairTdbRHPsi(H242,I242,M242,AJ242)</f>
        <v>0.80834107140145739</v>
      </c>
      <c r="AL242" s="58">
        <v>0.80834107140145739</v>
      </c>
      <c r="AN242" s="49">
        <f t="shared" si="204"/>
        <v>0.52552556241374138</v>
      </c>
      <c r="AO242" s="81">
        <f t="shared" si="215"/>
        <v>13.657486134830236</v>
      </c>
      <c r="AP242" s="81">
        <f t="shared" si="205"/>
        <v>33.361641360018083</v>
      </c>
      <c r="AR242" s="58">
        <v>0.52552556241374138</v>
      </c>
      <c r="AS242" s="155">
        <v>13.657486134830236</v>
      </c>
      <c r="AT242" s="155">
        <v>33.361641360018083</v>
      </c>
      <c r="AU242" s="140"/>
      <c r="AV242" s="49">
        <f t="shared" si="206"/>
        <v>0.10947443758625863</v>
      </c>
      <c r="AW242" s="162">
        <f t="shared" si="207"/>
        <v>1.0947443758625863E-4</v>
      </c>
      <c r="AX242" s="10">
        <f t="shared" si="208"/>
        <v>49</v>
      </c>
      <c r="AY242" s="55">
        <f t="shared" si="209"/>
        <v>4.4684181189583181E-3</v>
      </c>
      <c r="AZ242" s="55">
        <f t="shared" si="210"/>
        <v>2.6238509212908501E-3</v>
      </c>
      <c r="BB242" s="58">
        <v>0.10947443758625863</v>
      </c>
      <c r="BC242" s="167">
        <v>1.0947443758625863E-4</v>
      </c>
      <c r="BD242" s="168">
        <v>49</v>
      </c>
      <c r="BE242" s="170">
        <v>4.4684181189583181E-3</v>
      </c>
      <c r="BF242" s="171">
        <v>2.6238509212908501E-3</v>
      </c>
      <c r="BH242" s="81">
        <f t="shared" si="216"/>
        <v>345.93651195109271</v>
      </c>
      <c r="BI242" s="80">
        <v>345.93651195109271</v>
      </c>
      <c r="BK242" s="81">
        <f t="shared" si="217"/>
        <v>67.173186349893172</v>
      </c>
      <c r="BL242" s="81">
        <f t="shared" si="218"/>
        <v>49.071520699860102</v>
      </c>
      <c r="BM242" s="81">
        <f t="shared" si="219"/>
        <v>18.10166565003307</v>
      </c>
      <c r="BN242" s="192">
        <f t="shared" si="220"/>
        <v>0.26947754950531472</v>
      </c>
      <c r="BO242" s="81">
        <f t="shared" si="221"/>
        <v>49</v>
      </c>
      <c r="BP242" s="49">
        <f t="shared" si="222"/>
        <v>13.204399925760422</v>
      </c>
      <c r="BQ242" s="82">
        <f t="shared" si="223"/>
        <v>5032.4505171445799</v>
      </c>
      <c r="BS242" s="193">
        <v>5032.4505171445799</v>
      </c>
    </row>
    <row r="243" spans="1:71" x14ac:dyDescent="0.25">
      <c r="A243">
        <v>18</v>
      </c>
      <c r="C243" s="9" t="s">
        <v>62</v>
      </c>
      <c r="D243" s="10" t="s">
        <v>63</v>
      </c>
      <c r="E243" s="11" t="s">
        <v>64</v>
      </c>
      <c r="F243" s="33">
        <v>44522</v>
      </c>
      <c r="G243" s="29">
        <v>0.24444444444444446</v>
      </c>
      <c r="H243" s="28">
        <v>11</v>
      </c>
      <c r="I243" s="28">
        <v>87</v>
      </c>
      <c r="J243" s="28" t="s">
        <v>80</v>
      </c>
      <c r="K243" s="10">
        <v>6</v>
      </c>
      <c r="L243" s="47">
        <f t="shared" si="224"/>
        <v>101252.94186124044</v>
      </c>
      <c r="M243" s="10">
        <f t="shared" si="203"/>
        <v>1.0125294186124043</v>
      </c>
      <c r="N243" s="10" t="s">
        <v>15</v>
      </c>
      <c r="O243" s="10">
        <f>_xll.HumidairTdbRHPsi(H243,I243,M243,N243)</f>
        <v>7.1239846671402995E-3</v>
      </c>
      <c r="P243" s="49">
        <f t="shared" si="225"/>
        <v>7.1239846671402995</v>
      </c>
      <c r="Q243" s="31"/>
      <c r="R243" s="58">
        <v>7.1239846671402995</v>
      </c>
      <c r="S243" s="4"/>
      <c r="T243" s="82">
        <v>18</v>
      </c>
      <c r="U243" s="10" t="s">
        <v>144</v>
      </c>
      <c r="V243" s="78">
        <f>_xll.HumidairTdbRHPsi(H243, I243,M243,U243)</f>
        <v>8.9222947264239565</v>
      </c>
      <c r="W243" s="79">
        <v>8.9222947264239565</v>
      </c>
      <c r="X243" s="4"/>
      <c r="Y243" s="82">
        <v>18</v>
      </c>
      <c r="Z243" s="10" t="s">
        <v>145</v>
      </c>
      <c r="AA243" s="78">
        <f>_xll.HumidairTdbRHPsi(H243,I243,M243,Z243)</f>
        <v>29.019074354587239</v>
      </c>
      <c r="AB243" s="81">
        <f t="shared" si="213"/>
        <v>66.019074354587246</v>
      </c>
      <c r="AC243" s="80">
        <v>66.019074354587246</v>
      </c>
      <c r="AE243" s="10" t="s">
        <v>146</v>
      </c>
      <c r="AF243" s="78">
        <f>_xll.HumidairTdbRHPsi(H243,I243,M243,AE243)</f>
        <v>11.065380398207038</v>
      </c>
      <c r="AG243" s="81">
        <f t="shared" si="214"/>
        <v>48.06538039820704</v>
      </c>
      <c r="AH243" s="80">
        <v>48.06538039820704</v>
      </c>
      <c r="AJ243" s="10" t="s">
        <v>150</v>
      </c>
      <c r="AK243" s="84">
        <f>_xll.HumidairTdbRHPsi(H243,I243,M243,AJ243)</f>
        <v>0.80521072807188498</v>
      </c>
      <c r="AL243" s="58">
        <v>0.80521072807188498</v>
      </c>
      <c r="AN243" s="49">
        <f t="shared" si="204"/>
        <v>0.52756859957341862</v>
      </c>
      <c r="AO243" s="81">
        <f t="shared" si="215"/>
        <v>13.503428128400005</v>
      </c>
      <c r="AP243" s="81">
        <f t="shared" si="205"/>
        <v>32.98531822789662</v>
      </c>
      <c r="AR243" s="58">
        <v>0.52756859957341862</v>
      </c>
      <c r="AS243" s="155">
        <v>13.503428128400005</v>
      </c>
      <c r="AT243" s="155">
        <v>32.98531822789662</v>
      </c>
      <c r="AU243" s="140"/>
      <c r="AV243" s="49">
        <f t="shared" si="206"/>
        <v>0.10743140042658139</v>
      </c>
      <c r="AW243" s="162">
        <f t="shared" si="207"/>
        <v>1.0743140042658139E-4</v>
      </c>
      <c r="AX243" s="10">
        <f t="shared" si="208"/>
        <v>48</v>
      </c>
      <c r="AY243" s="55">
        <f t="shared" si="209"/>
        <v>4.2955371146564296E-3</v>
      </c>
      <c r="AZ243" s="55">
        <f t="shared" si="210"/>
        <v>2.5223353579896827E-3</v>
      </c>
      <c r="BB243" s="58">
        <v>0.10743140042658139</v>
      </c>
      <c r="BC243" s="167">
        <v>1.0743140042658139E-4</v>
      </c>
      <c r="BD243" s="168">
        <v>48</v>
      </c>
      <c r="BE243" s="170">
        <v>4.2955371146564296E-3</v>
      </c>
      <c r="BF243" s="171">
        <v>2.5223353579896827E-3</v>
      </c>
      <c r="BH243" s="81">
        <f t="shared" si="216"/>
        <v>347.2813773569905</v>
      </c>
      <c r="BI243" s="80">
        <v>347.2813773569905</v>
      </c>
      <c r="BK243" s="81">
        <f t="shared" si="217"/>
        <v>66.019074354587246</v>
      </c>
      <c r="BL243" s="81">
        <f t="shared" si="218"/>
        <v>48.06538039820704</v>
      </c>
      <c r="BM243" s="81">
        <f t="shared" si="219"/>
        <v>17.953693956380206</v>
      </c>
      <c r="BN243" s="192">
        <f t="shared" si="220"/>
        <v>0.27194707184095379</v>
      </c>
      <c r="BO243" s="81">
        <f t="shared" si="221"/>
        <v>48</v>
      </c>
      <c r="BP243" s="49">
        <f t="shared" si="222"/>
        <v>13.053459448365782</v>
      </c>
      <c r="BQ243" s="82">
        <f t="shared" si="223"/>
        <v>5175.1482636985556</v>
      </c>
      <c r="BS243" s="193">
        <v>5175.1482636985556</v>
      </c>
    </row>
    <row r="244" spans="1:71" x14ac:dyDescent="0.25">
      <c r="A244" s="5">
        <v>19</v>
      </c>
      <c r="B244" s="14"/>
      <c r="C244" s="15" t="s">
        <v>65</v>
      </c>
      <c r="D244" s="16" t="s">
        <v>66</v>
      </c>
      <c r="E244" s="4" t="s">
        <v>67</v>
      </c>
      <c r="F244" s="33">
        <v>44521</v>
      </c>
      <c r="G244" s="29">
        <v>0.56874999999999998</v>
      </c>
      <c r="H244" s="28">
        <v>11</v>
      </c>
      <c r="I244" s="28">
        <v>37</v>
      </c>
      <c r="J244" s="28" t="s">
        <v>86</v>
      </c>
      <c r="K244" s="10">
        <v>15</v>
      </c>
      <c r="L244" s="47">
        <f t="shared" si="224"/>
        <v>101144.93246061618</v>
      </c>
      <c r="M244" s="10">
        <f t="shared" si="203"/>
        <v>1.0114493246061618</v>
      </c>
      <c r="N244" s="10" t="s">
        <v>15</v>
      </c>
      <c r="O244" s="10">
        <f>_xll.HumidairTdbRHPsi(H244,I244,M244,N244)</f>
        <v>3.0131469833823169E-3</v>
      </c>
      <c r="P244" s="49">
        <f t="shared" si="225"/>
        <v>3.0131469833823168</v>
      </c>
      <c r="Q244" s="31"/>
      <c r="R244" s="58">
        <v>3.0131469833823168</v>
      </c>
      <c r="S244" s="4"/>
      <c r="T244" s="82">
        <v>19</v>
      </c>
      <c r="U244" s="10" t="s">
        <v>144</v>
      </c>
      <c r="V244" s="78">
        <f>_xll.HumidairTdbRHPsi(H244, I244,M244,U244)</f>
        <v>-2.7624425265172476</v>
      </c>
      <c r="W244" s="79">
        <v>-2.7624425265172476</v>
      </c>
      <c r="X244" s="4"/>
      <c r="Y244" s="82">
        <v>19</v>
      </c>
      <c r="Z244" s="10" t="s">
        <v>145</v>
      </c>
      <c r="AA244" s="78">
        <f>_xll.HumidairTdbRHPsi(H244,I244,M244,Z244)</f>
        <v>18.660362442402032</v>
      </c>
      <c r="AB244" s="81">
        <f t="shared" si="213"/>
        <v>55.660362442402032</v>
      </c>
      <c r="AC244" s="80">
        <v>55.660362442402032</v>
      </c>
      <c r="AE244" s="10" t="s">
        <v>146</v>
      </c>
      <c r="AF244" s="78">
        <f>_xll.HumidairTdbRHPsi(H244,I244,M244,AE244)</f>
        <v>11.06565628005032</v>
      </c>
      <c r="AG244" s="81">
        <f t="shared" si="214"/>
        <v>48.06565628005032</v>
      </c>
      <c r="AH244" s="80">
        <v>48.06565628005032</v>
      </c>
      <c r="AJ244" s="10" t="s">
        <v>150</v>
      </c>
      <c r="AK244" s="84">
        <f>_xll.HumidairTdbRHPsi(H244,I244,M244,AJ244)</f>
        <v>0.80607097241088155</v>
      </c>
      <c r="AL244" s="58">
        <v>0.80607097241088155</v>
      </c>
      <c r="AN244" s="49">
        <f t="shared" si="204"/>
        <v>0.52700557483149291</v>
      </c>
      <c r="AO244" s="81">
        <f t="shared" si="215"/>
        <v>5.7174859760179082</v>
      </c>
      <c r="AP244" s="81">
        <f t="shared" si="205"/>
        <v>13.966312301529083</v>
      </c>
      <c r="AR244" s="58">
        <v>0.52700557483149291</v>
      </c>
      <c r="AS244" s="155">
        <v>5.7174859760179082</v>
      </c>
      <c r="AT244" s="155">
        <v>13.966312301529083</v>
      </c>
      <c r="AU244" s="140"/>
      <c r="AV244" s="49">
        <f t="shared" si="206"/>
        <v>0.1079944251685071</v>
      </c>
      <c r="AW244" s="162">
        <f t="shared" si="207"/>
        <v>1.079944251685071E-4</v>
      </c>
      <c r="AX244" s="10">
        <f t="shared" si="208"/>
        <v>48</v>
      </c>
      <c r="AY244" s="55">
        <f t="shared" si="209"/>
        <v>4.3180490959375878E-3</v>
      </c>
      <c r="AZ244" s="55">
        <f t="shared" si="210"/>
        <v>2.5355543722475559E-3</v>
      </c>
      <c r="BB244" s="58">
        <v>0.1079944251685071</v>
      </c>
      <c r="BC244" s="167">
        <v>1.079944251685071E-4</v>
      </c>
      <c r="BD244" s="168">
        <v>48</v>
      </c>
      <c r="BE244" s="170">
        <v>4.3180490959375878E-3</v>
      </c>
      <c r="BF244" s="171">
        <v>2.5355543722475559E-3</v>
      </c>
      <c r="BH244" s="81">
        <f t="shared" si="216"/>
        <v>346.91075634577015</v>
      </c>
      <c r="BI244" s="80">
        <v>346.91075634577015</v>
      </c>
      <c r="BK244" s="81">
        <f t="shared" si="217"/>
        <v>55.660362442402032</v>
      </c>
      <c r="BL244" s="81">
        <f t="shared" si="218"/>
        <v>48.06565628005032</v>
      </c>
      <c r="BM244" s="81">
        <f t="shared" si="219"/>
        <v>7.5947061623517129</v>
      </c>
      <c r="BN244" s="192">
        <f t="shared" si="220"/>
        <v>0.13644729982149864</v>
      </c>
      <c r="BO244" s="81">
        <f t="shared" si="221"/>
        <v>48</v>
      </c>
      <c r="BP244" s="49">
        <f t="shared" si="222"/>
        <v>6.5494703914319352</v>
      </c>
      <c r="BQ244" s="82">
        <f t="shared" si="223"/>
        <v>2583.0526306664765</v>
      </c>
      <c r="BS244" s="193">
        <v>2206.3574553609483</v>
      </c>
    </row>
    <row r="245" spans="1:71" x14ac:dyDescent="0.25">
      <c r="A245" s="5">
        <v>20</v>
      </c>
      <c r="B245" s="17" t="s">
        <v>68</v>
      </c>
      <c r="C245" s="9" t="s">
        <v>69</v>
      </c>
      <c r="D245" s="10" t="s">
        <v>70</v>
      </c>
      <c r="E245" s="18" t="s">
        <v>71</v>
      </c>
      <c r="F245" s="33">
        <v>44522</v>
      </c>
      <c r="G245" s="29">
        <v>0.23750000000000002</v>
      </c>
      <c r="H245" s="28">
        <v>-9</v>
      </c>
      <c r="I245" s="28">
        <v>48</v>
      </c>
      <c r="J245" s="28" t="s">
        <v>90</v>
      </c>
      <c r="K245" s="10">
        <v>10</v>
      </c>
      <c r="L245" s="47">
        <f t="shared" si="224"/>
        <v>101204.92615896827</v>
      </c>
      <c r="M245" s="10">
        <f t="shared" si="203"/>
        <v>1.0120492615896828</v>
      </c>
      <c r="N245" s="10" t="s">
        <v>15</v>
      </c>
      <c r="O245" s="55">
        <f>_xll.HumidairTdbRHPsi(H245,I245,M245,N245)</f>
        <v>8.4218469327506707E-4</v>
      </c>
      <c r="P245" s="49">
        <f t="shared" si="225"/>
        <v>0.84218469327506706</v>
      </c>
      <c r="Q245" s="31"/>
      <c r="R245" s="58">
        <v>0.84218469327506706</v>
      </c>
      <c r="S245" s="4"/>
      <c r="T245" s="82">
        <v>20</v>
      </c>
      <c r="U245" s="10" t="s">
        <v>144</v>
      </c>
      <c r="V245" s="78">
        <f>_xll.HumidairTdbRHPsi(H245, I245,M245,U245)</f>
        <v>-17.076476850890515</v>
      </c>
      <c r="W245" s="80">
        <v>-17.076476850890515</v>
      </c>
      <c r="X245" s="4"/>
      <c r="Y245" s="82">
        <v>20</v>
      </c>
      <c r="Z245" s="10" t="s">
        <v>145</v>
      </c>
      <c r="AA245" s="78">
        <f>_xll.HumidairTdbRHPsi(H245,I245,M245,Z245)</f>
        <v>-6.960173555206624</v>
      </c>
      <c r="AB245" s="81">
        <f t="shared" si="213"/>
        <v>30.039826444793377</v>
      </c>
      <c r="AC245" s="80">
        <v>30.039826444793377</v>
      </c>
      <c r="AE245" s="10" t="s">
        <v>146</v>
      </c>
      <c r="AF245" s="78">
        <f>_xll.HumidairTdbRHPsi(H245,I245,M245,AE245)</f>
        <v>-9.051625751834754</v>
      </c>
      <c r="AG245" s="81">
        <f t="shared" si="214"/>
        <v>27.948374248165244</v>
      </c>
      <c r="AH245" s="80">
        <v>27.948374248165244</v>
      </c>
      <c r="AJ245" s="10" t="s">
        <v>150</v>
      </c>
      <c r="AK245" s="84">
        <f>_xll.HumidairTdbRHPsi(H245,I245,M245,AJ245)</f>
        <v>0.74869679442254733</v>
      </c>
      <c r="AL245" s="58">
        <v>0.74869679442254733</v>
      </c>
      <c r="AN245" s="49">
        <f t="shared" si="204"/>
        <v>0.56739109788498376</v>
      </c>
      <c r="AO245" s="81">
        <f t="shared" si="215"/>
        <v>1.4843107274936254</v>
      </c>
      <c r="AP245" s="81">
        <f t="shared" si="205"/>
        <v>3.6257801522626543</v>
      </c>
      <c r="AR245" s="58">
        <v>0.56739109788498376</v>
      </c>
      <c r="AS245" s="155">
        <v>1.4843107274936254</v>
      </c>
      <c r="AT245" s="155">
        <v>3.6257801522626543</v>
      </c>
      <c r="AU245" s="140"/>
      <c r="AV245" s="49">
        <f t="shared" si="206"/>
        <v>6.7608902115016245E-2</v>
      </c>
      <c r="AW245" s="162">
        <f t="shared" si="207"/>
        <v>6.760890211501624E-5</v>
      </c>
      <c r="AX245" s="10">
        <f t="shared" si="208"/>
        <v>28</v>
      </c>
      <c r="AY245" s="55">
        <f t="shared" si="209"/>
        <v>1.5769100329306386E-3</v>
      </c>
      <c r="AZ245" s="55">
        <f t="shared" si="210"/>
        <v>9.2596008980072727E-4</v>
      </c>
      <c r="BB245" s="58">
        <v>6.7608902115016245E-2</v>
      </c>
      <c r="BC245" s="167">
        <v>6.760890211501624E-5</v>
      </c>
      <c r="BD245" s="168">
        <v>28</v>
      </c>
      <c r="BE245" s="170">
        <v>1.5769100329306386E-3</v>
      </c>
      <c r="BF245" s="171">
        <v>9.2596008980072727E-4</v>
      </c>
      <c r="BH245" s="81">
        <f t="shared" si="216"/>
        <v>373.49524238728065</v>
      </c>
      <c r="BI245" s="80">
        <v>373.49524238728065</v>
      </c>
      <c r="BK245" s="78">
        <f t="shared" ref="BK245" si="226">+AB245</f>
        <v>30.039826444793377</v>
      </c>
      <c r="BL245" s="81">
        <f t="shared" ref="BL245" si="227">+AG245</f>
        <v>27.948374248165244</v>
      </c>
      <c r="BM245" s="81">
        <f t="shared" ref="BM245" si="228">+BK245-BL245</f>
        <v>2.0914521966281328</v>
      </c>
      <c r="BN245" s="192">
        <f t="shared" ref="BN245" si="229">+BM245/BK245</f>
        <v>6.962264580561954E-2</v>
      </c>
      <c r="BO245" s="81">
        <v>0</v>
      </c>
      <c r="BP245" s="49">
        <f t="shared" ref="BP245" si="230">+BN245*BO245*-1</f>
        <v>0</v>
      </c>
      <c r="BQ245" s="82"/>
      <c r="BS245" s="9"/>
    </row>
    <row r="247" spans="1:71" x14ac:dyDescent="0.25">
      <c r="AN247" s="4" t="s">
        <v>230</v>
      </c>
    </row>
    <row r="248" spans="1:71" x14ac:dyDescent="0.25">
      <c r="AH248" s="197"/>
      <c r="AK248" s="86" t="s">
        <v>160</v>
      </c>
      <c r="AN248" s="4">
        <v>416.43</v>
      </c>
      <c r="AO248" s="139" t="s">
        <v>231</v>
      </c>
      <c r="AX248" s="4" t="s">
        <v>192</v>
      </c>
      <c r="AY248" s="27" t="s">
        <v>271</v>
      </c>
      <c r="AZ248" s="86" t="s">
        <v>160</v>
      </c>
      <c r="BD248" s="70" t="s">
        <v>192</v>
      </c>
      <c r="BE248" s="70" t="s">
        <v>271</v>
      </c>
      <c r="BF248" s="83"/>
      <c r="BH248" s="27" t="s">
        <v>233</v>
      </c>
      <c r="BI248" s="70" t="s">
        <v>233</v>
      </c>
      <c r="BK248" s="86" t="s">
        <v>160</v>
      </c>
      <c r="BQ248" s="4"/>
      <c r="BS248" s="57"/>
    </row>
    <row r="249" spans="1:71" x14ac:dyDescent="0.25">
      <c r="K249" s="2"/>
      <c r="M249" s="30"/>
      <c r="N249" s="25"/>
      <c r="O249" s="25"/>
      <c r="R249" s="66" t="s">
        <v>169</v>
      </c>
      <c r="T249" s="69"/>
      <c r="Y249" t="s">
        <v>166</v>
      </c>
      <c r="AB249" s="4"/>
      <c r="AC249" s="57"/>
      <c r="AG249" s="4"/>
      <c r="AH249" s="57"/>
      <c r="AK249" s="26" t="s">
        <v>192</v>
      </c>
      <c r="AL249" s="70" t="s">
        <v>192</v>
      </c>
      <c r="AN249" s="4">
        <v>1.8326800000000001E-2</v>
      </c>
      <c r="AO249" s="139" t="s">
        <v>176</v>
      </c>
      <c r="AX249" s="4" t="s">
        <v>193</v>
      </c>
      <c r="AY249" s="16" t="s">
        <v>193</v>
      </c>
      <c r="AZ249" t="s">
        <v>284</v>
      </c>
      <c r="BD249" s="72" t="s">
        <v>193</v>
      </c>
      <c r="BE249" s="72" t="s">
        <v>193</v>
      </c>
      <c r="BF249" s="83"/>
      <c r="BH249" s="16" t="s">
        <v>255</v>
      </c>
      <c r="BI249" s="72" t="s">
        <v>255</v>
      </c>
      <c r="BQ249" s="27" t="s">
        <v>306</v>
      </c>
      <c r="BS249" s="70" t="s">
        <v>306</v>
      </c>
    </row>
    <row r="250" spans="1:71" x14ac:dyDescent="0.25">
      <c r="B250" s="45">
        <v>44551</v>
      </c>
      <c r="C250" t="s">
        <v>132</v>
      </c>
      <c r="G250" s="51"/>
      <c r="I250" s="52"/>
      <c r="P250" s="4" t="s">
        <v>72</v>
      </c>
      <c r="R250" s="203" t="s">
        <v>72</v>
      </c>
      <c r="T250" t="s">
        <v>140</v>
      </c>
      <c r="AA250" s="71" t="s">
        <v>134</v>
      </c>
      <c r="AB250" s="27" t="s">
        <v>300</v>
      </c>
      <c r="AC250" s="70" t="s">
        <v>300</v>
      </c>
      <c r="AF250" s="71" t="s">
        <v>134</v>
      </c>
      <c r="AG250" s="27" t="s">
        <v>314</v>
      </c>
      <c r="AH250" s="70" t="s">
        <v>314</v>
      </c>
      <c r="AK250" s="15" t="s">
        <v>147</v>
      </c>
      <c r="AL250" s="72" t="s">
        <v>147</v>
      </c>
      <c r="AN250" s="4">
        <v>1.8405999999999999E-2</v>
      </c>
      <c r="AO250" t="s">
        <v>232</v>
      </c>
      <c r="AQ250" t="s">
        <v>187</v>
      </c>
      <c r="AS250" s="176" t="s">
        <v>315</v>
      </c>
      <c r="AT250" s="87" t="s">
        <v>317</v>
      </c>
      <c r="AV250" s="163" t="s">
        <v>270</v>
      </c>
      <c r="AX250" s="4">
        <v>0.83299999999999996</v>
      </c>
      <c r="AY250" s="16" t="s">
        <v>272</v>
      </c>
      <c r="AZ250" s="27" t="s">
        <v>274</v>
      </c>
      <c r="BB250" s="70" t="s">
        <v>270</v>
      </c>
      <c r="BD250" s="72">
        <v>0.83299999999999996</v>
      </c>
      <c r="BE250" s="72" t="s">
        <v>272</v>
      </c>
      <c r="BF250" s="70" t="s">
        <v>274</v>
      </c>
      <c r="BH250" s="16" t="s">
        <v>282</v>
      </c>
      <c r="BI250" s="72" t="s">
        <v>282</v>
      </c>
      <c r="BK250" s="27" t="s">
        <v>297</v>
      </c>
      <c r="BL250" s="27" t="s">
        <v>299</v>
      </c>
      <c r="BM250" s="26" t="s">
        <v>301</v>
      </c>
      <c r="BO250" s="163" t="s">
        <v>304</v>
      </c>
      <c r="BQ250" s="16" t="s">
        <v>291</v>
      </c>
      <c r="BS250" s="72" t="s">
        <v>291</v>
      </c>
    </row>
    <row r="251" spans="1:71" x14ac:dyDescent="0.25">
      <c r="G251" s="4" t="s">
        <v>0</v>
      </c>
      <c r="K251" s="4" t="s">
        <v>1</v>
      </c>
      <c r="L251" s="4" t="s">
        <v>2</v>
      </c>
      <c r="O251" s="4" t="s">
        <v>72</v>
      </c>
      <c r="P251" s="4" t="s">
        <v>81</v>
      </c>
      <c r="Q251" s="4"/>
      <c r="R251" s="72" t="s">
        <v>81</v>
      </c>
      <c r="V251" s="26" t="s">
        <v>310</v>
      </c>
      <c r="W251" s="87" t="s">
        <v>310</v>
      </c>
      <c r="AA251" s="73" t="s">
        <v>141</v>
      </c>
      <c r="AB251" s="16" t="s">
        <v>141</v>
      </c>
      <c r="AC251" s="72" t="s">
        <v>141</v>
      </c>
      <c r="AF251" s="42" t="s">
        <v>141</v>
      </c>
      <c r="AG251" s="16" t="s">
        <v>141</v>
      </c>
      <c r="AH251" s="72" t="s">
        <v>141</v>
      </c>
      <c r="AK251" s="15" t="s">
        <v>148</v>
      </c>
      <c r="AL251" s="72" t="s">
        <v>148</v>
      </c>
      <c r="AN251" s="27" t="s">
        <v>235</v>
      </c>
      <c r="AO251" s="27" t="s">
        <v>233</v>
      </c>
      <c r="AP251" s="27" t="s">
        <v>233</v>
      </c>
      <c r="AR251" s="176" t="s">
        <v>320</v>
      </c>
      <c r="AS251" s="199" t="s">
        <v>316</v>
      </c>
      <c r="AT251" s="72" t="s">
        <v>318</v>
      </c>
      <c r="AV251" s="73" t="s">
        <v>275</v>
      </c>
      <c r="AW251" s="163" t="s">
        <v>270</v>
      </c>
      <c r="AY251" s="16" t="s">
        <v>251</v>
      </c>
      <c r="AZ251" s="16">
        <v>1.7030000000000001</v>
      </c>
      <c r="BB251" s="72" t="s">
        <v>275</v>
      </c>
      <c r="BC251" s="176" t="s">
        <v>270</v>
      </c>
      <c r="BD251" s="74"/>
      <c r="BE251" s="72" t="s">
        <v>251</v>
      </c>
      <c r="BF251" s="72">
        <v>1.7030000000000001</v>
      </c>
      <c r="BH251" s="173" t="s">
        <v>187</v>
      </c>
      <c r="BI251" s="72" t="s">
        <v>187</v>
      </c>
      <c r="BK251" s="16" t="s">
        <v>298</v>
      </c>
      <c r="BL251" s="16" t="s">
        <v>298</v>
      </c>
      <c r="BM251" s="16" t="s">
        <v>300</v>
      </c>
      <c r="BO251" s="16" t="s">
        <v>303</v>
      </c>
      <c r="BP251" s="161" t="s">
        <v>296</v>
      </c>
      <c r="BQ251" s="16" t="s">
        <v>292</v>
      </c>
      <c r="BS251" s="72" t="s">
        <v>292</v>
      </c>
    </row>
    <row r="252" spans="1:71" ht="17.25" x14ac:dyDescent="0.25">
      <c r="A252" s="5"/>
      <c r="B252" s="5"/>
      <c r="C252" t="s">
        <v>3</v>
      </c>
      <c r="D252" t="s">
        <v>4</v>
      </c>
      <c r="E252" t="s">
        <v>5</v>
      </c>
      <c r="F252" s="4" t="s">
        <v>6</v>
      </c>
      <c r="G252" s="6" t="s">
        <v>7</v>
      </c>
      <c r="H252" s="4" t="s">
        <v>98</v>
      </c>
      <c r="I252" s="4" t="s">
        <v>99</v>
      </c>
      <c r="J252" s="4" t="s">
        <v>74</v>
      </c>
      <c r="K252" s="7" t="s">
        <v>163</v>
      </c>
      <c r="L252" s="7" t="s">
        <v>8</v>
      </c>
      <c r="M252" s="4" t="s">
        <v>9</v>
      </c>
      <c r="N252" s="4" t="s">
        <v>10</v>
      </c>
      <c r="O252" s="4" t="s">
        <v>11</v>
      </c>
      <c r="P252" s="4" t="s">
        <v>82</v>
      </c>
      <c r="Q252" s="4"/>
      <c r="R252" s="77" t="s">
        <v>82</v>
      </c>
      <c r="S252" s="4"/>
      <c r="T252" s="10" t="s">
        <v>142</v>
      </c>
      <c r="U252" s="18" t="s">
        <v>10</v>
      </c>
      <c r="V252" s="13" t="s">
        <v>273</v>
      </c>
      <c r="W252" s="77" t="s">
        <v>311</v>
      </c>
      <c r="X252" s="4"/>
      <c r="Y252" s="10" t="s">
        <v>142</v>
      </c>
      <c r="Z252" s="18" t="s">
        <v>10</v>
      </c>
      <c r="AA252" s="76" t="s">
        <v>143</v>
      </c>
      <c r="AB252" s="13" t="s">
        <v>312</v>
      </c>
      <c r="AC252" s="72" t="s">
        <v>312</v>
      </c>
      <c r="AE252" s="9" t="s">
        <v>10</v>
      </c>
      <c r="AF252" s="76" t="s">
        <v>82</v>
      </c>
      <c r="AG252" s="13" t="s">
        <v>313</v>
      </c>
      <c r="AH252" s="77" t="s">
        <v>313</v>
      </c>
      <c r="AJ252" s="32" t="s">
        <v>10</v>
      </c>
      <c r="AK252" s="12" t="s">
        <v>149</v>
      </c>
      <c r="AL252" s="77" t="s">
        <v>149</v>
      </c>
      <c r="AN252" s="13" t="s">
        <v>230</v>
      </c>
      <c r="AO252" s="13" t="s">
        <v>177</v>
      </c>
      <c r="AP252" s="13" t="s">
        <v>234</v>
      </c>
      <c r="AR252" s="177" t="s">
        <v>321</v>
      </c>
      <c r="AS252" s="177" t="s">
        <v>232</v>
      </c>
      <c r="AT252" s="77" t="s">
        <v>319</v>
      </c>
      <c r="AV252" s="166" t="s">
        <v>149</v>
      </c>
      <c r="AW252" s="13" t="s">
        <v>276</v>
      </c>
      <c r="AX252" s="164" t="s">
        <v>186</v>
      </c>
      <c r="AY252" s="13" t="s">
        <v>82</v>
      </c>
      <c r="AZ252" s="13" t="s">
        <v>273</v>
      </c>
      <c r="BB252" s="77" t="s">
        <v>149</v>
      </c>
      <c r="BC252" s="177" t="s">
        <v>276</v>
      </c>
      <c r="BD252" s="77" t="s">
        <v>186</v>
      </c>
      <c r="BE252" s="77" t="s">
        <v>82</v>
      </c>
      <c r="BF252" s="77" t="s">
        <v>277</v>
      </c>
      <c r="BH252" s="13">
        <v>418</v>
      </c>
      <c r="BI252" s="77">
        <v>418</v>
      </c>
      <c r="BK252" s="13" t="s">
        <v>250</v>
      </c>
      <c r="BL252" s="13" t="s">
        <v>250</v>
      </c>
      <c r="BM252" s="13" t="s">
        <v>295</v>
      </c>
      <c r="BN252" s="18" t="s">
        <v>302</v>
      </c>
      <c r="BO252" s="13" t="s">
        <v>189</v>
      </c>
      <c r="BP252" s="76" t="s">
        <v>277</v>
      </c>
      <c r="BQ252" s="13" t="s">
        <v>305</v>
      </c>
      <c r="BS252" s="77" t="s">
        <v>305</v>
      </c>
    </row>
    <row r="253" spans="1:71" x14ac:dyDescent="0.25">
      <c r="A253">
        <v>1</v>
      </c>
      <c r="C253" s="9" t="s">
        <v>12</v>
      </c>
      <c r="D253" s="10" t="s">
        <v>13</v>
      </c>
      <c r="E253" s="32" t="s">
        <v>14</v>
      </c>
      <c r="F253" s="33">
        <v>44551</v>
      </c>
      <c r="G253" s="29">
        <v>0.45902777777777781</v>
      </c>
      <c r="H253" s="46">
        <v>-23</v>
      </c>
      <c r="I253" s="28">
        <v>70</v>
      </c>
      <c r="J253" s="28" t="s">
        <v>88</v>
      </c>
      <c r="K253" s="10">
        <v>32</v>
      </c>
      <c r="L253" s="47">
        <f>+((101325*(1-(2.25577*10^-5)*(K253))^5.25588))</f>
        <v>100941.16925190832</v>
      </c>
      <c r="M253" s="10">
        <f t="shared" ref="M253:M272" si="231">+L253/100000</f>
        <v>1.0094116925190832</v>
      </c>
      <c r="N253" s="10" t="s">
        <v>15</v>
      </c>
      <c r="O253" s="10">
        <f>_xll.HumidairTdbRHPsi(H253,I253,M253,N253)</f>
        <v>3.3447558713765993E-4</v>
      </c>
      <c r="P253" s="49">
        <f>+O253*1000</f>
        <v>0.3344755871376599</v>
      </c>
      <c r="Q253" s="31"/>
      <c r="R253" s="58">
        <v>0.3344755871376599</v>
      </c>
      <c r="S253" s="4"/>
      <c r="T253" s="10">
        <v>1</v>
      </c>
      <c r="U253" s="10" t="s">
        <v>144</v>
      </c>
      <c r="V253" s="78">
        <f>_xll.HumidairTdbRHPsi(H253, I253,M253,U253)</f>
        <v>-26.577979792419796</v>
      </c>
      <c r="W253" s="79">
        <v>-26.577979792419796</v>
      </c>
      <c r="X253" s="4"/>
      <c r="Y253" s="10">
        <v>1</v>
      </c>
      <c r="Z253" s="10" t="s">
        <v>145</v>
      </c>
      <c r="AA253" s="78">
        <f>_xll.HumidairTdbRHPsi(H253,I253,M253,Z253)</f>
        <v>-22.308612261639436</v>
      </c>
      <c r="AB253" s="78">
        <f>+AA253+37</f>
        <v>14.691387738360564</v>
      </c>
      <c r="AC253" s="79">
        <v>14.691387738360564</v>
      </c>
      <c r="AE253" s="10" t="s">
        <v>146</v>
      </c>
      <c r="AF253" s="78">
        <f>_xll.HumidairTdbRHPsi(H253,I253,M253,AE253)</f>
        <v>-23.130530001829548</v>
      </c>
      <c r="AG253" s="78">
        <f>+AF253+37</f>
        <v>13.869469998170452</v>
      </c>
      <c r="AH253" s="80">
        <v>13.869469998170452</v>
      </c>
      <c r="AJ253" s="10" t="s">
        <v>150</v>
      </c>
      <c r="AK253" s="84">
        <f>_xll.HumidairTdbRHPsi(H253,I253,M253,AJ253)</f>
        <v>0.71070365694991733</v>
      </c>
      <c r="AL253" s="58">
        <v>0.71070365694991733</v>
      </c>
      <c r="AN253" s="49">
        <f t="shared" ref="AN253:AN272" si="232">+$AN$6*($AL$57/AL253)</f>
        <v>0.59772296373636458</v>
      </c>
      <c r="AO253" s="81">
        <f>+R253/AN253</f>
        <v>0.55958296306177358</v>
      </c>
      <c r="AP253" s="81">
        <f t="shared" ref="AP253:AP272" si="233">+AO253*(44.0059/18.015)</f>
        <v>1.3669137892978127</v>
      </c>
      <c r="AR253" s="58">
        <v>0.59772296373636458</v>
      </c>
      <c r="AS253" s="155">
        <v>0.55958296306177358</v>
      </c>
      <c r="AT253" s="155">
        <v>1.3669137892978127</v>
      </c>
      <c r="AU253" s="140"/>
      <c r="AV253" s="84">
        <f t="shared" ref="AV253:AV272" si="234">+$AN$57-AN253</f>
        <v>3.7277036263635432E-2</v>
      </c>
      <c r="AW253" s="165">
        <f t="shared" ref="AW253:AW272" si="235">+AV253/1000</f>
        <v>3.7277036263635435E-5</v>
      </c>
      <c r="AX253" s="10">
        <f t="shared" ref="AX253:AX272" si="236">37+H253</f>
        <v>14</v>
      </c>
      <c r="AY253" s="55">
        <f t="shared" ref="AY253:AY272" si="237">+AW253*AX253*$AX$9</f>
        <v>4.3472479690651641E-4</v>
      </c>
      <c r="AZ253" s="55">
        <f t="shared" ref="AZ253:AZ272" si="238">+AY253/1.703</f>
        <v>2.5526999231151873E-4</v>
      </c>
      <c r="BB253" s="58">
        <v>3.7277036263635432E-2</v>
      </c>
      <c r="BC253" s="167">
        <v>3.7277036263635435E-5</v>
      </c>
      <c r="BD253" s="168">
        <v>14</v>
      </c>
      <c r="BE253" s="168">
        <v>4.3472479690651641E-4</v>
      </c>
      <c r="BF253" s="169">
        <v>2.5526999231151873E-4</v>
      </c>
      <c r="BH253" s="81">
        <f>418*($AL$57/AL253)</f>
        <v>393.46173045952821</v>
      </c>
      <c r="BI253" s="80">
        <v>393.46173045952821</v>
      </c>
      <c r="BK253" s="81">
        <f>+AB253</f>
        <v>14.691387738360564</v>
      </c>
      <c r="BL253" s="81">
        <f>+AG253</f>
        <v>13.869469998170452</v>
      </c>
      <c r="BM253" s="81">
        <f>+BK253-BL253</f>
        <v>0.82191774019011277</v>
      </c>
      <c r="BN253" s="192">
        <f>+BM253/BK253</f>
        <v>5.5945548155672861E-2</v>
      </c>
      <c r="BO253" s="81">
        <f>+H253-$H$57</f>
        <v>14</v>
      </c>
      <c r="BP253" s="49">
        <f>+BN253*BO253</f>
        <v>0.78323767417942003</v>
      </c>
      <c r="BQ253" s="82">
        <f>+BP253/AZ253</f>
        <v>3068.2716252194496</v>
      </c>
      <c r="BS253" s="193">
        <v>3068.2716252194496</v>
      </c>
    </row>
    <row r="254" spans="1:71" x14ac:dyDescent="0.25">
      <c r="A254">
        <v>2</v>
      </c>
      <c r="B254" s="1" t="s">
        <v>16</v>
      </c>
      <c r="C254" s="12" t="s">
        <v>17</v>
      </c>
      <c r="D254" s="13" t="s">
        <v>18</v>
      </c>
      <c r="E254" s="11" t="s">
        <v>19</v>
      </c>
      <c r="F254" s="33">
        <v>44552</v>
      </c>
      <c r="G254" s="29">
        <v>4.1666666666666664E-2</v>
      </c>
      <c r="H254" s="28">
        <v>-26</v>
      </c>
      <c r="I254" s="28">
        <v>60</v>
      </c>
      <c r="J254" s="28" t="s">
        <v>85</v>
      </c>
      <c r="K254" s="10">
        <v>41</v>
      </c>
      <c r="L254" s="47">
        <f t="shared" ref="L254:L262" si="239">+((101325*(1-(2.25577*10^-5)*(K254))^5.25588))</f>
        <v>100833.42925724134</v>
      </c>
      <c r="M254" s="10">
        <f t="shared" si="231"/>
        <v>1.0083342925724135</v>
      </c>
      <c r="N254" s="10" t="s">
        <v>15</v>
      </c>
      <c r="O254" s="10">
        <f>_xll.HumidairTdbRHPsi(H254,I254,M254,N254)</f>
        <v>2.1292133547003527E-4</v>
      </c>
      <c r="P254" s="49">
        <f t="shared" ref="P254:P262" si="240">+O254*1000</f>
        <v>0.21292133547003528</v>
      </c>
      <c r="Q254" s="31"/>
      <c r="R254" s="58">
        <v>0.21292133547003528</v>
      </c>
      <c r="S254" s="4"/>
      <c r="T254" s="10">
        <v>2</v>
      </c>
      <c r="U254" s="10" t="s">
        <v>144</v>
      </c>
      <c r="V254" s="78">
        <f>_xll.HumidairTdbRHPsi(H254, I254,M254,U254)</f>
        <v>-30.972548117432467</v>
      </c>
      <c r="W254" s="79">
        <v>-30.972548117432467</v>
      </c>
      <c r="X254" s="4"/>
      <c r="Y254" s="10">
        <v>2</v>
      </c>
      <c r="Z254" s="10" t="s">
        <v>145</v>
      </c>
      <c r="AA254" s="78">
        <f>_xll.HumidairTdbRHPsi(H254,I254,M254,Z254)</f>
        <v>-25.6252070697169</v>
      </c>
      <c r="AB254" s="81">
        <f t="shared" ref="AB254:AB272" si="241">+AA254+37</f>
        <v>11.3747929302831</v>
      </c>
      <c r="AC254" s="80">
        <v>11.3747929302831</v>
      </c>
      <c r="AE254" s="10" t="s">
        <v>146</v>
      </c>
      <c r="AF254" s="78">
        <f>_xll.HumidairTdbRHPsi(H254,I254,M254,AE254)</f>
        <v>-26.147240310839294</v>
      </c>
      <c r="AG254" s="81">
        <f t="shared" ref="AG254:AG272" si="242">+AF254+37</f>
        <v>10.852759689160706</v>
      </c>
      <c r="AH254" s="80">
        <v>10.852759689160706</v>
      </c>
      <c r="AJ254" s="10" t="s">
        <v>150</v>
      </c>
      <c r="AK254" s="84">
        <f>_xll.HumidairTdbRHPsi(H254,I254,M254,AJ254)</f>
        <v>0.70289122682451111</v>
      </c>
      <c r="AL254" s="58">
        <v>0.70289122682451111</v>
      </c>
      <c r="AN254" s="49">
        <f t="shared" si="232"/>
        <v>0.60436647941892252</v>
      </c>
      <c r="AO254" s="81">
        <f t="shared" ref="AO254:AO272" si="243">+R254/AN254</f>
        <v>0.35230500486187089</v>
      </c>
      <c r="AP254" s="81">
        <f t="shared" si="233"/>
        <v>0.86058833269225654</v>
      </c>
      <c r="AR254" s="58">
        <v>0.60436647941892252</v>
      </c>
      <c r="AS254" s="155">
        <v>0.35230500486187089</v>
      </c>
      <c r="AT254" s="155">
        <v>0.86058833269225654</v>
      </c>
      <c r="AU254" s="140"/>
      <c r="AV254" s="49">
        <f t="shared" si="234"/>
        <v>3.0633520581077489E-2</v>
      </c>
      <c r="AW254" s="162">
        <f t="shared" si="235"/>
        <v>3.0633520581077489E-5</v>
      </c>
      <c r="AX254" s="10">
        <f t="shared" si="236"/>
        <v>11</v>
      </c>
      <c r="AY254" s="55">
        <f t="shared" si="237"/>
        <v>2.8069494908441301E-4</v>
      </c>
      <c r="AZ254" s="55">
        <f t="shared" si="238"/>
        <v>1.6482381038427071E-4</v>
      </c>
      <c r="BB254" s="58">
        <v>3.0633520581077489E-2</v>
      </c>
      <c r="BC254" s="167">
        <v>3.0633520581077489E-5</v>
      </c>
      <c r="BD254" s="168">
        <v>11</v>
      </c>
      <c r="BE254" s="170">
        <v>2.8069494908441301E-4</v>
      </c>
      <c r="BF254" s="169">
        <v>1.6482381038427071E-4</v>
      </c>
      <c r="BH254" s="81">
        <f t="shared" ref="BH254:BH272" si="244">418*($AL$57/AL254)</f>
        <v>397.83494235765295</v>
      </c>
      <c r="BI254" s="80">
        <v>397.83494235765295</v>
      </c>
      <c r="BK254" s="81">
        <f t="shared" ref="BK254:BK271" si="245">+AB254</f>
        <v>11.3747929302831</v>
      </c>
      <c r="BL254" s="81">
        <f t="shared" ref="BL254:BL271" si="246">+AG254</f>
        <v>10.852759689160706</v>
      </c>
      <c r="BM254" s="81">
        <f t="shared" ref="BM254:BM271" si="247">+BK254-BL254</f>
        <v>0.52203324112239358</v>
      </c>
      <c r="BN254" s="192">
        <f t="shared" ref="BN254:BN271" si="248">+BM254/BK254</f>
        <v>4.5893867635390974E-2</v>
      </c>
      <c r="BO254" s="81">
        <f t="shared" ref="BO254:BO271" si="249">+H254-$H$57</f>
        <v>11</v>
      </c>
      <c r="BP254" s="49">
        <f t="shared" ref="BP254:BP271" si="250">+BN254*BO254</f>
        <v>0.50483254398930066</v>
      </c>
      <c r="BQ254" s="82">
        <f t="shared" ref="BQ254:BQ271" si="251">+BP254/AZ254</f>
        <v>3062.8617480225257</v>
      </c>
      <c r="BS254" s="193">
        <v>3062.8617480225257</v>
      </c>
    </row>
    <row r="255" spans="1:71" x14ac:dyDescent="0.25">
      <c r="A255">
        <v>3</v>
      </c>
      <c r="C255" s="12" t="s">
        <v>20</v>
      </c>
      <c r="D255" s="10" t="s">
        <v>21</v>
      </c>
      <c r="E255" s="11" t="s">
        <v>22</v>
      </c>
      <c r="F255" s="33">
        <v>44551</v>
      </c>
      <c r="G255" s="29">
        <v>0.69791666666666663</v>
      </c>
      <c r="H255" s="28">
        <v>-7</v>
      </c>
      <c r="I255" s="28">
        <v>79</v>
      </c>
      <c r="J255" s="28" t="s">
        <v>75</v>
      </c>
      <c r="K255" s="10">
        <v>15</v>
      </c>
      <c r="L255" s="47">
        <f t="shared" si="239"/>
        <v>101144.93246061618</v>
      </c>
      <c r="M255" s="10">
        <f t="shared" si="231"/>
        <v>1.0114493246061618</v>
      </c>
      <c r="N255" s="10" t="s">
        <v>15</v>
      </c>
      <c r="O255" s="10">
        <f>_xll.HumidairTdbRHPsi(H255,I255,M255,N255)</f>
        <v>1.6540500652347701E-3</v>
      </c>
      <c r="P255" s="49">
        <f t="shared" si="240"/>
        <v>1.6540500652347701</v>
      </c>
      <c r="Q255" s="31"/>
      <c r="R255" s="58">
        <v>1.6540500652347701</v>
      </c>
      <c r="S255" s="4"/>
      <c r="T255" s="10">
        <v>3</v>
      </c>
      <c r="U255" s="10" t="s">
        <v>144</v>
      </c>
      <c r="V255" s="78">
        <f>_xll.HumidairTdbRHPsi(H255, I255,M255,U255)</f>
        <v>-9.6893221053334742</v>
      </c>
      <c r="W255" s="79">
        <v>-9.6893221053334742</v>
      </c>
      <c r="X255" s="4"/>
      <c r="Y255" s="10">
        <v>3</v>
      </c>
      <c r="Z255" s="10" t="s">
        <v>145</v>
      </c>
      <c r="AA255" s="78">
        <f>_xll.HumidairTdbRHPsi(H255,I255,M255,Z255)</f>
        <v>-2.9263649818627764</v>
      </c>
      <c r="AB255" s="81">
        <f t="shared" si="241"/>
        <v>34.073635018137225</v>
      </c>
      <c r="AC255" s="80">
        <v>34.073635018137225</v>
      </c>
      <c r="AE255" s="10" t="s">
        <v>146</v>
      </c>
      <c r="AF255" s="78">
        <f>_xll.HumidairTdbRHPsi(H255,I255,M255,AE255)</f>
        <v>-7.0399781839776514</v>
      </c>
      <c r="AG255" s="81">
        <f t="shared" si="242"/>
        <v>29.960021816022348</v>
      </c>
      <c r="AH255" s="80">
        <v>29.960021816022348</v>
      </c>
      <c r="AJ255" s="10" t="s">
        <v>150</v>
      </c>
      <c r="AK255" s="84">
        <f>_xll.HumidairTdbRHPsi(H255,I255,M255,AJ255)</f>
        <v>0.75483556908823324</v>
      </c>
      <c r="AL255" s="58">
        <v>0.75483556908823324</v>
      </c>
      <c r="AN255" s="49">
        <f t="shared" si="232"/>
        <v>0.56277673385675009</v>
      </c>
      <c r="AO255" s="81">
        <f t="shared" si="243"/>
        <v>2.939087502604175</v>
      </c>
      <c r="AP255" s="81">
        <f t="shared" si="233"/>
        <v>7.179416637848961</v>
      </c>
      <c r="AR255" s="58">
        <v>0.56277673385675009</v>
      </c>
      <c r="AS255" s="155">
        <v>2.939087502604175</v>
      </c>
      <c r="AT255" s="155">
        <v>7.179416637848961</v>
      </c>
      <c r="AU255" s="140"/>
      <c r="AV255" s="49">
        <f t="shared" si="234"/>
        <v>7.222326614324992E-2</v>
      </c>
      <c r="AW255" s="162">
        <f t="shared" si="235"/>
        <v>7.2223266143249925E-5</v>
      </c>
      <c r="AX255" s="10">
        <f t="shared" si="236"/>
        <v>30</v>
      </c>
      <c r="AY255" s="55">
        <f t="shared" si="237"/>
        <v>1.8048594209198155E-3</v>
      </c>
      <c r="AZ255" s="55">
        <f t="shared" si="238"/>
        <v>1.0598117562653055E-3</v>
      </c>
      <c r="BB255" s="58">
        <v>7.222326614324992E-2</v>
      </c>
      <c r="BC255" s="167">
        <v>7.2223266143249925E-5</v>
      </c>
      <c r="BD255" s="168">
        <v>30</v>
      </c>
      <c r="BE255" s="170">
        <v>1.8048594209198155E-3</v>
      </c>
      <c r="BF255" s="171">
        <v>1.0598117562653055E-3</v>
      </c>
      <c r="BH255" s="81">
        <f t="shared" si="244"/>
        <v>370.45775551515203</v>
      </c>
      <c r="BI255" s="80">
        <v>370.45775551515203</v>
      </c>
      <c r="BK255" s="81">
        <f t="shared" si="245"/>
        <v>34.073635018137225</v>
      </c>
      <c r="BL255" s="81">
        <f t="shared" si="246"/>
        <v>29.960021816022348</v>
      </c>
      <c r="BM255" s="81">
        <f t="shared" si="247"/>
        <v>4.1136132021148768</v>
      </c>
      <c r="BN255" s="192">
        <f t="shared" si="248"/>
        <v>0.12072716045485669</v>
      </c>
      <c r="BO255" s="81">
        <f t="shared" si="249"/>
        <v>30</v>
      </c>
      <c r="BP255" s="49">
        <f t="shared" si="250"/>
        <v>3.6218148136457007</v>
      </c>
      <c r="BQ255" s="82">
        <f t="shared" si="251"/>
        <v>3417.4133210304208</v>
      </c>
      <c r="BS255" s="193">
        <v>3417.4133210304208</v>
      </c>
    </row>
    <row r="256" spans="1:71" x14ac:dyDescent="0.25">
      <c r="A256" s="5">
        <v>4</v>
      </c>
      <c r="B256" s="14"/>
      <c r="C256" s="12" t="s">
        <v>23</v>
      </c>
      <c r="D256" s="10" t="s">
        <v>24</v>
      </c>
      <c r="E256" s="11" t="s">
        <v>25</v>
      </c>
      <c r="F256" s="33">
        <v>44551</v>
      </c>
      <c r="G256" s="29">
        <v>0.3756944444444445</v>
      </c>
      <c r="H256" s="28">
        <v>-15</v>
      </c>
      <c r="I256" s="28">
        <v>84</v>
      </c>
      <c r="J256" s="28" t="s">
        <v>75</v>
      </c>
      <c r="K256" s="10">
        <v>26</v>
      </c>
      <c r="L256" s="47">
        <f t="shared" si="239"/>
        <v>101013.04768769341</v>
      </c>
      <c r="M256" s="10">
        <f t="shared" si="231"/>
        <v>1.0101304768769341</v>
      </c>
      <c r="N256" s="10" t="s">
        <v>15</v>
      </c>
      <c r="O256" s="10">
        <f>_xll.HumidairTdbRHPsi(H256,I256,M256,N256)</f>
        <v>8.5977642594739089E-4</v>
      </c>
      <c r="P256" s="49">
        <f t="shared" si="240"/>
        <v>0.8597764259473909</v>
      </c>
      <c r="Q256" s="31"/>
      <c r="R256" s="58">
        <v>0.8597764259473909</v>
      </c>
      <c r="S256" s="4"/>
      <c r="T256" s="10">
        <v>4</v>
      </c>
      <c r="U256" s="10" t="s">
        <v>144</v>
      </c>
      <c r="V256" s="78">
        <f>_xll.HumidairTdbRHPsi(H256, I256,M256,U256)</f>
        <v>-16.876277892325902</v>
      </c>
      <c r="W256" s="79">
        <v>-16.876277892325902</v>
      </c>
      <c r="X256" s="4"/>
      <c r="Y256" s="10">
        <v>4</v>
      </c>
      <c r="Z256" s="10" t="s">
        <v>145</v>
      </c>
      <c r="AA256" s="78">
        <f>_xll.HumidairTdbRHPsi(H256,I256,M256,Z256)</f>
        <v>-12.959775950365527</v>
      </c>
      <c r="AB256" s="81">
        <f t="shared" si="241"/>
        <v>24.040224049634475</v>
      </c>
      <c r="AC256" s="80">
        <v>24.040224049634475</v>
      </c>
      <c r="AE256" s="10" t="s">
        <v>146</v>
      </c>
      <c r="AF256" s="78">
        <f>_xll.HumidairTdbRHPsi(H256,I256,M256,AE256)</f>
        <v>-15.085285062209353</v>
      </c>
      <c r="AG256" s="81">
        <f t="shared" si="242"/>
        <v>21.914714937790649</v>
      </c>
      <c r="AH256" s="80">
        <v>21.914714937790649</v>
      </c>
      <c r="AJ256" s="10" t="s">
        <v>150</v>
      </c>
      <c r="AK256" s="84">
        <f>_xll.HumidairTdbRHPsi(H256,I256,M256,AJ256)</f>
        <v>0.73301255345535021</v>
      </c>
      <c r="AL256" s="58">
        <v>0.73301255345535021</v>
      </c>
      <c r="AN256" s="49">
        <f t="shared" si="232"/>
        <v>0.57953154303823673</v>
      </c>
      <c r="AO256" s="81">
        <f t="shared" si="243"/>
        <v>1.4835714056907925</v>
      </c>
      <c r="AP256" s="81">
        <f t="shared" si="233"/>
        <v>3.6239741838294997</v>
      </c>
      <c r="AR256" s="58">
        <v>0.57953154303823673</v>
      </c>
      <c r="AS256" s="155">
        <v>1.4835714056907925</v>
      </c>
      <c r="AT256" s="155">
        <v>3.6239741838294997</v>
      </c>
      <c r="AU256" s="140"/>
      <c r="AV256" s="49">
        <f t="shared" si="234"/>
        <v>5.5468456961763279E-2</v>
      </c>
      <c r="AW256" s="162">
        <f t="shared" si="235"/>
        <v>5.5468456961763281E-5</v>
      </c>
      <c r="AX256" s="10">
        <f t="shared" si="236"/>
        <v>22</v>
      </c>
      <c r="AY256" s="55">
        <f t="shared" si="237"/>
        <v>1.0165149422812739E-3</v>
      </c>
      <c r="AZ256" s="55">
        <f t="shared" si="238"/>
        <v>5.9689661907297352E-4</v>
      </c>
      <c r="BB256" s="58">
        <v>5.5468456961763279E-2</v>
      </c>
      <c r="BC256" s="167">
        <v>5.5468456961763281E-5</v>
      </c>
      <c r="BD256" s="168">
        <v>22</v>
      </c>
      <c r="BE256" s="170">
        <v>1.0165149422812739E-3</v>
      </c>
      <c r="BF256" s="171">
        <v>5.9689661907297352E-4</v>
      </c>
      <c r="BH256" s="81">
        <f t="shared" si="244"/>
        <v>381.48690549603617</v>
      </c>
      <c r="BI256" s="80">
        <v>381.48690549603617</v>
      </c>
      <c r="BK256" s="81">
        <f t="shared" si="245"/>
        <v>24.040224049634475</v>
      </c>
      <c r="BL256" s="81">
        <f t="shared" si="246"/>
        <v>21.914714937790649</v>
      </c>
      <c r="BM256" s="81">
        <f t="shared" si="247"/>
        <v>2.1255091118438258</v>
      </c>
      <c r="BN256" s="192">
        <f t="shared" si="248"/>
        <v>8.8414696446065102E-2</v>
      </c>
      <c r="BO256" s="81">
        <f t="shared" si="249"/>
        <v>22</v>
      </c>
      <c r="BP256" s="49">
        <f t="shared" si="250"/>
        <v>1.9451233218134323</v>
      </c>
      <c r="BQ256" s="82">
        <f t="shared" si="251"/>
        <v>3258.7273233920455</v>
      </c>
      <c r="BS256" s="193">
        <v>3258.7273233920455</v>
      </c>
    </row>
    <row r="257" spans="1:71" x14ac:dyDescent="0.25">
      <c r="A257">
        <v>5</v>
      </c>
      <c r="C257" s="9" t="s">
        <v>26</v>
      </c>
      <c r="D257" s="10" t="s">
        <v>27</v>
      </c>
      <c r="E257" s="11" t="s">
        <v>28</v>
      </c>
      <c r="F257" s="33">
        <v>44551</v>
      </c>
      <c r="G257" s="34">
        <v>0.98888888888888893</v>
      </c>
      <c r="H257" s="28">
        <v>-11</v>
      </c>
      <c r="I257" s="28">
        <v>69</v>
      </c>
      <c r="J257" s="28" t="s">
        <v>110</v>
      </c>
      <c r="K257" s="10">
        <v>356</v>
      </c>
      <c r="L257" s="47">
        <f t="shared" si="239"/>
        <v>97120.766933102874</v>
      </c>
      <c r="M257" s="10">
        <f t="shared" si="231"/>
        <v>0.97120766933102876</v>
      </c>
      <c r="N257" s="10" t="s">
        <v>15</v>
      </c>
      <c r="O257" s="10">
        <f>_xll.HumidairTdbRHPsi(H257,I257,M257,N257)</f>
        <v>1.0565453157904859E-3</v>
      </c>
      <c r="P257" s="49">
        <f t="shared" si="240"/>
        <v>1.0565453157904858</v>
      </c>
      <c r="Q257" s="31"/>
      <c r="R257" s="58">
        <v>1.0565453157904858</v>
      </c>
      <c r="S257" s="4"/>
      <c r="T257" s="10">
        <v>5</v>
      </c>
      <c r="U257" s="10" t="s">
        <v>144</v>
      </c>
      <c r="V257" s="78">
        <f>_xll.HumidairTdbRHPsi(H257, I257,M257,U257)</f>
        <v>-15.083669096119195</v>
      </c>
      <c r="W257" s="79">
        <v>-15.083669096119195</v>
      </c>
      <c r="X257" s="4"/>
      <c r="Y257" s="10">
        <v>5</v>
      </c>
      <c r="Z257" s="10" t="s">
        <v>145</v>
      </c>
      <c r="AA257" s="78">
        <f>_xll.HumidairTdbRHPsi(H257,I257,M257,Z257)</f>
        <v>-8.4309093684947189</v>
      </c>
      <c r="AB257" s="81">
        <f t="shared" si="241"/>
        <v>28.569090631505283</v>
      </c>
      <c r="AC257" s="80">
        <v>28.569090631505283</v>
      </c>
      <c r="AE257" s="10" t="s">
        <v>146</v>
      </c>
      <c r="AF257" s="78">
        <f>_xll.HumidairTdbRHPsi(H257,I257,M257,AE257)</f>
        <v>-11.050769772490987</v>
      </c>
      <c r="AG257" s="81">
        <f t="shared" si="242"/>
        <v>25.949230227509013</v>
      </c>
      <c r="AH257" s="80">
        <v>25.949230227509013</v>
      </c>
      <c r="AJ257" s="10" t="s">
        <v>150</v>
      </c>
      <c r="AK257" s="84">
        <f>_xll.HumidairTdbRHPsi(H257,I257,M257,AJ257)</f>
        <v>0.7742736597384291</v>
      </c>
      <c r="AL257" s="58">
        <v>0.7742736597384291</v>
      </c>
      <c r="AN257" s="49">
        <f t="shared" si="232"/>
        <v>0.54864825998844846</v>
      </c>
      <c r="AO257" s="81">
        <f t="shared" si="243"/>
        <v>1.9257243535461699</v>
      </c>
      <c r="AP257" s="81">
        <f t="shared" si="233"/>
        <v>4.7040373760598051</v>
      </c>
      <c r="AR257" s="58">
        <v>0.54864825998844846</v>
      </c>
      <c r="AS257" s="155">
        <v>1.9257243535461699</v>
      </c>
      <c r="AT257" s="155">
        <v>4.7040373760598051</v>
      </c>
      <c r="AU257" s="140"/>
      <c r="AV257" s="49">
        <f t="shared" si="234"/>
        <v>8.6351740011551548E-2</v>
      </c>
      <c r="AW257" s="162">
        <f t="shared" si="235"/>
        <v>8.6351740011551549E-5</v>
      </c>
      <c r="AX257" s="10">
        <f t="shared" si="236"/>
        <v>26</v>
      </c>
      <c r="AY257" s="55">
        <f t="shared" si="237"/>
        <v>1.8702059851701835E-3</v>
      </c>
      <c r="AZ257" s="55">
        <f t="shared" si="238"/>
        <v>1.0981831973988158E-3</v>
      </c>
      <c r="BB257" s="58">
        <v>8.6351740011551548E-2</v>
      </c>
      <c r="BC257" s="167">
        <v>8.6351740011551549E-5</v>
      </c>
      <c r="BD257" s="168">
        <v>26</v>
      </c>
      <c r="BE257" s="170">
        <v>1.8702059851701835E-3</v>
      </c>
      <c r="BF257" s="171">
        <v>1.0981831973988158E-3</v>
      </c>
      <c r="BH257" s="81">
        <f t="shared" si="244"/>
        <v>361.15743728373457</v>
      </c>
      <c r="BI257" s="80">
        <v>361.15743728373457</v>
      </c>
      <c r="BK257" s="81">
        <f t="shared" si="245"/>
        <v>28.569090631505283</v>
      </c>
      <c r="BL257" s="81">
        <f t="shared" si="246"/>
        <v>25.949230227509013</v>
      </c>
      <c r="BM257" s="81">
        <f t="shared" si="247"/>
        <v>2.6198604039962703</v>
      </c>
      <c r="BN257" s="192">
        <f t="shared" si="248"/>
        <v>9.1702617972276426E-2</v>
      </c>
      <c r="BO257" s="81">
        <f t="shared" si="249"/>
        <v>26</v>
      </c>
      <c r="BP257" s="49">
        <f t="shared" si="250"/>
        <v>2.3842680672791872</v>
      </c>
      <c r="BQ257" s="82">
        <f t="shared" si="251"/>
        <v>2171.1023014435336</v>
      </c>
      <c r="BS257" s="193">
        <v>2171.1023014435336</v>
      </c>
    </row>
    <row r="258" spans="1:71" x14ac:dyDescent="0.25">
      <c r="A258">
        <v>6</v>
      </c>
      <c r="C258" s="9" t="s">
        <v>29</v>
      </c>
      <c r="D258" s="10" t="s">
        <v>30</v>
      </c>
      <c r="E258" s="11" t="s">
        <v>31</v>
      </c>
      <c r="F258" s="33">
        <v>44551</v>
      </c>
      <c r="G258" s="29">
        <v>0.32500000000000001</v>
      </c>
      <c r="H258" s="28">
        <v>2</v>
      </c>
      <c r="I258" s="28">
        <v>90</v>
      </c>
      <c r="J258" s="36" t="s">
        <v>85</v>
      </c>
      <c r="K258" s="10">
        <v>2</v>
      </c>
      <c r="L258" s="47">
        <f t="shared" si="239"/>
        <v>101300.97600813</v>
      </c>
      <c r="M258" s="10">
        <f t="shared" si="231"/>
        <v>1.0130097600812999</v>
      </c>
      <c r="N258" s="10" t="s">
        <v>15</v>
      </c>
      <c r="O258" s="10">
        <f>_xll.HumidairTdbRHPsi(H258,I258,M258,N258)</f>
        <v>3.9412227475007361E-3</v>
      </c>
      <c r="P258" s="49">
        <f t="shared" si="240"/>
        <v>3.9412227475007362</v>
      </c>
      <c r="Q258" s="31"/>
      <c r="R258" s="58">
        <v>3.9412227475007362</v>
      </c>
      <c r="S258" s="4"/>
      <c r="T258" s="10">
        <v>6</v>
      </c>
      <c r="U258" s="10" t="s">
        <v>144</v>
      </c>
      <c r="V258" s="78">
        <f>_xll.HumidairTdbRHPsi(H258, I258,M258,U258)</f>
        <v>0.53440234145188015</v>
      </c>
      <c r="W258" s="79">
        <v>0.53440234145188015</v>
      </c>
      <c r="X258" s="4"/>
      <c r="Y258" s="10">
        <v>6</v>
      </c>
      <c r="Z258" s="10" t="s">
        <v>145</v>
      </c>
      <c r="AA258" s="78">
        <f>_xll.HumidairTdbRHPsi(H258,I258,M258,Z258)</f>
        <v>11.878910785611902</v>
      </c>
      <c r="AB258" s="81">
        <f t="shared" si="241"/>
        <v>48.8789107856119</v>
      </c>
      <c r="AC258" s="80">
        <v>48.8789107856119</v>
      </c>
      <c r="AE258" s="10" t="s">
        <v>146</v>
      </c>
      <c r="AF258" s="78">
        <f>_xll.HumidairTdbRHPsi(H258,I258,M258,AE258)</f>
        <v>2.0117571560576191</v>
      </c>
      <c r="AG258" s="81">
        <f t="shared" si="242"/>
        <v>39.01175715605762</v>
      </c>
      <c r="AH258" s="80">
        <v>39.01175715605762</v>
      </c>
      <c r="AJ258" s="10" t="s">
        <v>150</v>
      </c>
      <c r="AK258" s="84">
        <f>_xll.HumidairTdbRHPsi(H258,I258,M258,AJ258)</f>
        <v>0.77925339196266485</v>
      </c>
      <c r="AL258" s="58">
        <v>0.77925339196266485</v>
      </c>
      <c r="AN258" s="49">
        <f t="shared" si="232"/>
        <v>0.5451421842392572</v>
      </c>
      <c r="AO258" s="81">
        <f t="shared" si="243"/>
        <v>7.2297152219116745</v>
      </c>
      <c r="AP258" s="81">
        <f t="shared" si="233"/>
        <v>17.660290040739543</v>
      </c>
      <c r="AR258" s="58">
        <v>0.5451421842392572</v>
      </c>
      <c r="AS258" s="155">
        <v>7.2297152219116745</v>
      </c>
      <c r="AT258" s="155">
        <v>17.660290040739543</v>
      </c>
      <c r="AU258" s="140"/>
      <c r="AV258" s="49">
        <f t="shared" si="234"/>
        <v>8.985781576074281E-2</v>
      </c>
      <c r="AW258" s="162">
        <f t="shared" si="235"/>
        <v>8.9857815760742814E-5</v>
      </c>
      <c r="AX258" s="10">
        <f t="shared" si="236"/>
        <v>39</v>
      </c>
      <c r="AY258" s="55">
        <f t="shared" si="237"/>
        <v>2.9192108606192514E-3</v>
      </c>
      <c r="AZ258" s="55">
        <f t="shared" si="238"/>
        <v>1.7141578747030249E-3</v>
      </c>
      <c r="BB258" s="58">
        <v>8.985781576074281E-2</v>
      </c>
      <c r="BC258" s="167">
        <v>8.9857815760742814E-5</v>
      </c>
      <c r="BD258" s="168">
        <v>39</v>
      </c>
      <c r="BE258" s="170">
        <v>2.9192108606192514E-3</v>
      </c>
      <c r="BF258" s="171">
        <v>1.7141578747030249E-3</v>
      </c>
      <c r="BH258" s="81">
        <f t="shared" si="244"/>
        <v>358.84950080631415</v>
      </c>
      <c r="BI258" s="80">
        <v>358.84950080631415</v>
      </c>
      <c r="BK258" s="81">
        <f t="shared" si="245"/>
        <v>48.8789107856119</v>
      </c>
      <c r="BL258" s="81">
        <f t="shared" si="246"/>
        <v>39.01175715605762</v>
      </c>
      <c r="BM258" s="81">
        <f t="shared" si="247"/>
        <v>9.8671536295542808</v>
      </c>
      <c r="BN258" s="192">
        <f t="shared" si="248"/>
        <v>0.20186934346456012</v>
      </c>
      <c r="BO258" s="81">
        <f t="shared" si="249"/>
        <v>39</v>
      </c>
      <c r="BP258" s="49">
        <f t="shared" si="250"/>
        <v>7.8729043951178443</v>
      </c>
      <c r="BQ258" s="82">
        <f t="shared" si="251"/>
        <v>4592.8700683312572</v>
      </c>
      <c r="BS258" s="193">
        <v>4592.8700683312572</v>
      </c>
    </row>
    <row r="259" spans="1:71" x14ac:dyDescent="0.25">
      <c r="A259">
        <v>7</v>
      </c>
      <c r="B259" s="1" t="s">
        <v>32</v>
      </c>
      <c r="C259" s="9" t="s">
        <v>33</v>
      </c>
      <c r="D259" s="10" t="s">
        <v>34</v>
      </c>
      <c r="E259" s="11" t="s">
        <v>35</v>
      </c>
      <c r="F259" s="33">
        <v>44551</v>
      </c>
      <c r="G259" s="29">
        <v>0.70694444444444438</v>
      </c>
      <c r="H259" s="28">
        <v>6</v>
      </c>
      <c r="I259" s="28">
        <v>86</v>
      </c>
      <c r="J259" s="28" t="s">
        <v>75</v>
      </c>
      <c r="K259" s="10">
        <v>126</v>
      </c>
      <c r="L259" s="47">
        <f t="shared" si="239"/>
        <v>99820.46987859541</v>
      </c>
      <c r="M259" s="10">
        <f t="shared" si="231"/>
        <v>0.99820469878595408</v>
      </c>
      <c r="N259" s="10" t="s">
        <v>15</v>
      </c>
      <c r="O259" s="10">
        <f>_xll.HumidairTdbRHPsi(H259,I259,M259,N259)</f>
        <v>5.0721188605164589E-3</v>
      </c>
      <c r="P259" s="49">
        <f t="shared" si="240"/>
        <v>5.0721188605164587</v>
      </c>
      <c r="Q259" s="31"/>
      <c r="R259" s="58">
        <v>5.0721188605164587</v>
      </c>
      <c r="S259" s="4"/>
      <c r="T259" s="10">
        <v>7</v>
      </c>
      <c r="U259" s="10" t="s">
        <v>144</v>
      </c>
      <c r="V259" s="78">
        <f>_xll.HumidairTdbRHPsi(H259, I259,M259,U259)</f>
        <v>3.8388789949131024</v>
      </c>
      <c r="W259" s="79">
        <v>3.8388789949131024</v>
      </c>
      <c r="X259" s="4"/>
      <c r="Y259" s="10">
        <v>7</v>
      </c>
      <c r="Z259" s="10" t="s">
        <v>145</v>
      </c>
      <c r="AA259" s="78">
        <f>_xll.HumidairTdbRHPsi(H259,I259,M259,Z259)</f>
        <v>18.775291288812983</v>
      </c>
      <c r="AB259" s="81">
        <f t="shared" si="241"/>
        <v>55.77529128881298</v>
      </c>
      <c r="AC259" s="80">
        <v>55.77529128881298</v>
      </c>
      <c r="AE259" s="10" t="s">
        <v>146</v>
      </c>
      <c r="AF259" s="78">
        <f>_xll.HumidairTdbRHPsi(H259,I259,M259,AE259)</f>
        <v>6.0392641313105813</v>
      </c>
      <c r="AG259" s="81">
        <f t="shared" si="242"/>
        <v>43.039264131310581</v>
      </c>
      <c r="AH259" s="80">
        <v>43.039264131310581</v>
      </c>
      <c r="AJ259" s="10" t="s">
        <v>150</v>
      </c>
      <c r="AK259" s="84">
        <f>_xll.HumidairTdbRHPsi(H259,I259,M259,AJ259)</f>
        <v>0.8023531055344949</v>
      </c>
      <c r="AL259" s="58">
        <v>0.8023531055344949</v>
      </c>
      <c r="AN259" s="49">
        <f t="shared" si="232"/>
        <v>0.52944756272537896</v>
      </c>
      <c r="AO259" s="81">
        <f t="shared" si="243"/>
        <v>9.5800211722710937</v>
      </c>
      <c r="AP259" s="81">
        <f t="shared" si="233"/>
        <v>23.401468426580319</v>
      </c>
      <c r="AR259" s="58">
        <v>0.52944756272537896</v>
      </c>
      <c r="AS259" s="155">
        <v>9.5800211722710937</v>
      </c>
      <c r="AT259" s="155">
        <v>23.401468426580319</v>
      </c>
      <c r="AU259" s="140"/>
      <c r="AV259" s="49">
        <f t="shared" si="234"/>
        <v>0.10555243727462105</v>
      </c>
      <c r="AW259" s="162">
        <f t="shared" si="235"/>
        <v>1.0555243727462105E-4</v>
      </c>
      <c r="AX259" s="10">
        <f t="shared" si="236"/>
        <v>43</v>
      </c>
      <c r="AY259" s="55">
        <f t="shared" si="237"/>
        <v>3.7807827507396509E-3</v>
      </c>
      <c r="AZ259" s="55">
        <f t="shared" si="238"/>
        <v>2.2200720791189965E-3</v>
      </c>
      <c r="BB259" s="58">
        <v>0.10555243727462105</v>
      </c>
      <c r="BC259" s="167">
        <v>1.0555243727462105E-4</v>
      </c>
      <c r="BD259" s="168">
        <v>43</v>
      </c>
      <c r="BE259" s="170">
        <v>3.7807827507396509E-3</v>
      </c>
      <c r="BF259" s="171">
        <v>2.2200720791189965E-3</v>
      </c>
      <c r="BH259" s="81">
        <f t="shared" si="244"/>
        <v>348.51823814048572</v>
      </c>
      <c r="BI259" s="80">
        <v>348.51823814048572</v>
      </c>
      <c r="BK259" s="81">
        <f t="shared" si="245"/>
        <v>55.77529128881298</v>
      </c>
      <c r="BL259" s="81">
        <f t="shared" si="246"/>
        <v>43.039264131310581</v>
      </c>
      <c r="BM259" s="81">
        <f t="shared" si="247"/>
        <v>12.736027157502399</v>
      </c>
      <c r="BN259" s="192">
        <f t="shared" si="248"/>
        <v>0.2283453275313849</v>
      </c>
      <c r="BO259" s="81">
        <f t="shared" si="249"/>
        <v>43</v>
      </c>
      <c r="BP259" s="49">
        <f t="shared" si="250"/>
        <v>9.8188490838495497</v>
      </c>
      <c r="BQ259" s="82">
        <f t="shared" si="251"/>
        <v>4422.7613941913178</v>
      </c>
      <c r="BS259" s="193">
        <v>4422.7613941913178</v>
      </c>
    </row>
    <row r="260" spans="1:71" x14ac:dyDescent="0.25">
      <c r="A260">
        <v>8</v>
      </c>
      <c r="C260" s="9" t="s">
        <v>36</v>
      </c>
      <c r="D260" s="10" t="s">
        <v>37</v>
      </c>
      <c r="E260" s="11" t="s">
        <v>38</v>
      </c>
      <c r="F260" s="33">
        <v>44551</v>
      </c>
      <c r="G260" s="29">
        <v>0.99791666666666667</v>
      </c>
      <c r="H260" s="28">
        <v>-20</v>
      </c>
      <c r="I260" s="28">
        <v>41</v>
      </c>
      <c r="J260" s="28" t="s">
        <v>88</v>
      </c>
      <c r="K260" s="10">
        <v>143</v>
      </c>
      <c r="L260" s="47">
        <f t="shared" si="239"/>
        <v>99618.87034335341</v>
      </c>
      <c r="M260" s="10">
        <f t="shared" si="231"/>
        <v>0.99618870343353405</v>
      </c>
      <c r="N260" s="10" t="s">
        <v>15</v>
      </c>
      <c r="O260" s="10">
        <f>_xll.HumidairTdbRHPsi(H260,I260,M260,N260)</f>
        <v>2.6558536140092404E-4</v>
      </c>
      <c r="P260" s="49">
        <f t="shared" si="240"/>
        <v>0.26558536140092404</v>
      </c>
      <c r="Q260" s="31"/>
      <c r="R260" s="58">
        <v>0.26558536140092404</v>
      </c>
      <c r="S260" s="4"/>
      <c r="T260" s="10">
        <v>8</v>
      </c>
      <c r="U260" s="10" t="s">
        <v>144</v>
      </c>
      <c r="V260" s="78">
        <f>_xll.HumidairTdbRHPsi(H260, I260,M260,U260)</f>
        <v>-28.963764276648192</v>
      </c>
      <c r="W260" s="79">
        <v>-28.963764276648192</v>
      </c>
      <c r="X260" s="4"/>
      <c r="Y260" s="10">
        <v>8</v>
      </c>
      <c r="Z260" s="10" t="s">
        <v>145</v>
      </c>
      <c r="AA260" s="78">
        <f>_xll.HumidairTdbRHPsi(H260,I260,M260,Z260)</f>
        <v>-19.455091102223452</v>
      </c>
      <c r="AB260" s="81">
        <f t="shared" si="241"/>
        <v>17.544908897776548</v>
      </c>
      <c r="AC260" s="80">
        <v>17.544908897776548</v>
      </c>
      <c r="AE260" s="10" t="s">
        <v>146</v>
      </c>
      <c r="AF260" s="78">
        <f>_xll.HumidairTdbRHPsi(H260,I260,M260,AE260)</f>
        <v>-20.109215221422826</v>
      </c>
      <c r="AG260" s="81">
        <f t="shared" si="242"/>
        <v>16.890784778577174</v>
      </c>
      <c r="AH260" s="80">
        <v>16.890784778577174</v>
      </c>
      <c r="AJ260" s="10" t="s">
        <v>150</v>
      </c>
      <c r="AK260" s="84">
        <f>_xll.HumidairTdbRHPsi(H260,I260,M260,AJ260)</f>
        <v>0.72882180136001351</v>
      </c>
      <c r="AL260" s="58">
        <v>0.72882180136001351</v>
      </c>
      <c r="AN260" s="49">
        <f t="shared" si="232"/>
        <v>0.58286387067136902</v>
      </c>
      <c r="AO260" s="81">
        <f t="shared" si="243"/>
        <v>0.45565589971293086</v>
      </c>
      <c r="AP260" s="81">
        <f t="shared" si="233"/>
        <v>1.1130473470539695</v>
      </c>
      <c r="AR260" s="58">
        <v>0.58286387067136902</v>
      </c>
      <c r="AS260" s="155">
        <v>0.45565589971293086</v>
      </c>
      <c r="AT260" s="155">
        <v>1.1130473470539695</v>
      </c>
      <c r="AU260" s="140"/>
      <c r="AV260" s="49">
        <f t="shared" si="234"/>
        <v>5.2136129328630987E-2</v>
      </c>
      <c r="AW260" s="162">
        <f t="shared" si="235"/>
        <v>5.2136129328630985E-5</v>
      </c>
      <c r="AX260" s="10">
        <f t="shared" si="236"/>
        <v>17</v>
      </c>
      <c r="AY260" s="55">
        <f t="shared" si="237"/>
        <v>7.3829972742274334E-4</v>
      </c>
      <c r="AZ260" s="55">
        <f t="shared" si="238"/>
        <v>4.3352890629638481E-4</v>
      </c>
      <c r="BB260" s="58">
        <v>5.2136129328630987E-2</v>
      </c>
      <c r="BC260" s="167">
        <v>5.2136129328630985E-5</v>
      </c>
      <c r="BD260" s="168">
        <v>17</v>
      </c>
      <c r="BE260" s="170">
        <v>7.3829972742274334E-4</v>
      </c>
      <c r="BF260" s="171">
        <v>4.3352890629638481E-4</v>
      </c>
      <c r="BH260" s="81">
        <f t="shared" si="244"/>
        <v>383.68046919784609</v>
      </c>
      <c r="BI260" s="80">
        <v>383.68046919784609</v>
      </c>
      <c r="BK260" s="81">
        <f t="shared" si="245"/>
        <v>17.544908897776548</v>
      </c>
      <c r="BL260" s="81">
        <f t="shared" si="246"/>
        <v>16.890784778577174</v>
      </c>
      <c r="BM260" s="81">
        <f t="shared" si="247"/>
        <v>0.65412411919937341</v>
      </c>
      <c r="BN260" s="192">
        <f t="shared" si="248"/>
        <v>3.7282845012792859E-2</v>
      </c>
      <c r="BO260" s="81">
        <f t="shared" si="249"/>
        <v>17</v>
      </c>
      <c r="BP260" s="49">
        <f t="shared" si="250"/>
        <v>0.63380836521747863</v>
      </c>
      <c r="BQ260" s="82">
        <f t="shared" si="251"/>
        <v>1461.9748672172082</v>
      </c>
      <c r="BS260" s="193">
        <v>1461.9748672172082</v>
      </c>
    </row>
    <row r="261" spans="1:71" x14ac:dyDescent="0.25">
      <c r="A261">
        <v>9</v>
      </c>
      <c r="C261" s="68" t="s">
        <v>39</v>
      </c>
      <c r="D261" s="10" t="s">
        <v>40</v>
      </c>
      <c r="E261" s="11" t="s">
        <v>41</v>
      </c>
      <c r="F261" s="33">
        <v>44551</v>
      </c>
      <c r="G261" s="29">
        <v>0.4465277777777778</v>
      </c>
      <c r="H261" s="28">
        <v>-3</v>
      </c>
      <c r="I261" s="28">
        <v>51</v>
      </c>
      <c r="J261" s="28" t="s">
        <v>75</v>
      </c>
      <c r="K261" s="10">
        <v>62</v>
      </c>
      <c r="L261" s="47">
        <f t="shared" si="239"/>
        <v>100582.39802554256</v>
      </c>
      <c r="M261" s="10">
        <f t="shared" si="231"/>
        <v>1.0058239802554256</v>
      </c>
      <c r="N261" s="10" t="s">
        <v>15</v>
      </c>
      <c r="O261" s="10">
        <f>_xll.HumidairTdbRHPsi(H261,I261,M261,N261)</f>
        <v>1.5110541956698661E-3</v>
      </c>
      <c r="P261" s="49">
        <f t="shared" si="240"/>
        <v>1.5110541956698662</v>
      </c>
      <c r="Q261" s="31"/>
      <c r="R261" s="58">
        <v>1.5110541956698662</v>
      </c>
      <c r="S261" s="4"/>
      <c r="T261" s="10">
        <v>9</v>
      </c>
      <c r="U261" s="10" t="s">
        <v>144</v>
      </c>
      <c r="V261" s="78">
        <f>_xll.HumidairTdbRHPsi(H261, I261,M261,U261)</f>
        <v>-10.766134999197391</v>
      </c>
      <c r="W261" s="79">
        <v>-10.766134999197391</v>
      </c>
      <c r="X261" s="4"/>
      <c r="Y261" s="10">
        <v>9</v>
      </c>
      <c r="Z261" s="10" t="s">
        <v>145</v>
      </c>
      <c r="AA261" s="78">
        <f>_xll.HumidairTdbRHPsi(H261,I261,M261,Z261)</f>
        <v>0.75398865277021609</v>
      </c>
      <c r="AB261" s="81">
        <f t="shared" si="241"/>
        <v>37.753988652770218</v>
      </c>
      <c r="AC261" s="80">
        <v>37.753988652770218</v>
      </c>
      <c r="AE261" s="10" t="s">
        <v>146</v>
      </c>
      <c r="AF261" s="78">
        <f>_xll.HumidairTdbRHPsi(H261,I261,M261,AE261)</f>
        <v>-3.0153267514175237</v>
      </c>
      <c r="AG261" s="81">
        <f t="shared" si="242"/>
        <v>33.984673248582475</v>
      </c>
      <c r="AH261" s="80">
        <v>33.984673248582475</v>
      </c>
      <c r="AJ261" s="10" t="s">
        <v>150</v>
      </c>
      <c r="AK261" s="84">
        <f>_xll.HumidairTdbRHPsi(H261,I261,M261,AJ261)</f>
        <v>0.77051130715748262</v>
      </c>
      <c r="AL261" s="58">
        <v>0.77051130715748262</v>
      </c>
      <c r="AN261" s="49">
        <f t="shared" si="232"/>
        <v>0.55132727089695077</v>
      </c>
      <c r="AO261" s="81">
        <f t="shared" si="243"/>
        <v>2.740757215240853</v>
      </c>
      <c r="AP261" s="81">
        <f t="shared" si="233"/>
        <v>6.6949479843556725</v>
      </c>
      <c r="AR261" s="58">
        <v>0.55132727089695077</v>
      </c>
      <c r="AS261" s="155">
        <v>2.740757215240853</v>
      </c>
      <c r="AT261" s="155">
        <v>6.6949479843556725</v>
      </c>
      <c r="AU261" s="140"/>
      <c r="AV261" s="49">
        <f t="shared" si="234"/>
        <v>8.3672729103049237E-2</v>
      </c>
      <c r="AW261" s="162">
        <f t="shared" si="235"/>
        <v>8.3672729103049238E-5</v>
      </c>
      <c r="AX261" s="10">
        <f t="shared" si="236"/>
        <v>34</v>
      </c>
      <c r="AY261" s="55">
        <f t="shared" si="237"/>
        <v>2.3697790336565604E-3</v>
      </c>
      <c r="AZ261" s="55">
        <f t="shared" si="238"/>
        <v>1.3915320221118967E-3</v>
      </c>
      <c r="BB261" s="58">
        <v>8.3672729103049237E-2</v>
      </c>
      <c r="BC261" s="167">
        <v>8.3672729103049238E-5</v>
      </c>
      <c r="BD261" s="168">
        <v>34</v>
      </c>
      <c r="BE261" s="170">
        <v>2.3697790336565604E-3</v>
      </c>
      <c r="BF261" s="171">
        <v>1.3915320221118967E-3</v>
      </c>
      <c r="BH261" s="81">
        <f t="shared" si="244"/>
        <v>362.92094367704794</v>
      </c>
      <c r="BI261" s="80">
        <v>362.92094367704794</v>
      </c>
      <c r="BK261" s="81">
        <f t="shared" si="245"/>
        <v>37.753988652770218</v>
      </c>
      <c r="BL261" s="81">
        <f t="shared" si="246"/>
        <v>33.984673248582475</v>
      </c>
      <c r="BM261" s="81">
        <f t="shared" si="247"/>
        <v>3.7693154041877435</v>
      </c>
      <c r="BN261" s="192">
        <f t="shared" si="248"/>
        <v>9.9838865738260688E-2</v>
      </c>
      <c r="BO261" s="81">
        <f t="shared" si="249"/>
        <v>34</v>
      </c>
      <c r="BP261" s="49">
        <f t="shared" si="250"/>
        <v>3.3945214351008635</v>
      </c>
      <c r="BQ261" s="82">
        <f t="shared" si="251"/>
        <v>2439.4130937418709</v>
      </c>
      <c r="BS261" s="193">
        <v>2439.4130937418709</v>
      </c>
    </row>
    <row r="262" spans="1:71" x14ac:dyDescent="0.25">
      <c r="A262" s="5">
        <v>10</v>
      </c>
      <c r="B262" s="14"/>
      <c r="C262" s="12" t="s">
        <v>42</v>
      </c>
      <c r="D262" s="13" t="s">
        <v>43</v>
      </c>
      <c r="E262" s="8" t="s">
        <v>44</v>
      </c>
      <c r="F262" s="33">
        <v>44551</v>
      </c>
      <c r="G262" s="29">
        <v>0.40972222222222227</v>
      </c>
      <c r="H262" s="28">
        <v>-10</v>
      </c>
      <c r="I262" s="28">
        <v>88</v>
      </c>
      <c r="J262" s="28" t="s">
        <v>133</v>
      </c>
      <c r="K262" s="10">
        <v>255</v>
      </c>
      <c r="L262" s="47">
        <f t="shared" si="239"/>
        <v>98298.910193542106</v>
      </c>
      <c r="M262" s="10">
        <f t="shared" si="231"/>
        <v>0.98298910193542111</v>
      </c>
      <c r="N262" s="10" t="s">
        <v>15</v>
      </c>
      <c r="O262" s="10">
        <f>_xll.HumidairTdbRHPsi(H262,I262,M262,N262)</f>
        <v>1.4563975218187281E-3</v>
      </c>
      <c r="P262" s="49">
        <f t="shared" si="240"/>
        <v>1.4563975218187282</v>
      </c>
      <c r="Q262" s="31"/>
      <c r="R262" s="58">
        <v>1.4563975218187282</v>
      </c>
      <c r="S262" s="4"/>
      <c r="T262" s="10">
        <v>10</v>
      </c>
      <c r="U262" s="10" t="s">
        <v>144</v>
      </c>
      <c r="V262" s="78">
        <f>_xll.HumidairTdbRHPsi(H262, I262,M262,U262)</f>
        <v>-11.432310504737814</v>
      </c>
      <c r="W262" s="79">
        <v>-11.432310504737814</v>
      </c>
      <c r="X262" s="4"/>
      <c r="Y262" s="10">
        <v>10</v>
      </c>
      <c r="Z262" s="10" t="s">
        <v>145</v>
      </c>
      <c r="AA262" s="78">
        <f>_xll.HumidairTdbRHPsi(H262,I262,M262,Z262)</f>
        <v>-6.4346920173851565</v>
      </c>
      <c r="AB262" s="81">
        <f t="shared" si="241"/>
        <v>30.565307982614843</v>
      </c>
      <c r="AC262" s="80">
        <v>30.565307982614843</v>
      </c>
      <c r="AE262" s="10" t="s">
        <v>146</v>
      </c>
      <c r="AF262" s="78">
        <f>_xll.HumidairTdbRHPsi(H262,I262,M262,AE262)</f>
        <v>-10.048666090546815</v>
      </c>
      <c r="AG262" s="81">
        <f t="shared" si="242"/>
        <v>26.951333909453183</v>
      </c>
      <c r="AH262" s="80">
        <v>26.951333909453183</v>
      </c>
      <c r="AJ262" s="10" t="s">
        <v>150</v>
      </c>
      <c r="AK262" s="84">
        <f>_xll.HumidairTdbRHPsi(H262,I262,M262,AJ262)</f>
        <v>0.76791674124000242</v>
      </c>
      <c r="AL262" s="58">
        <v>0.76791674124000242</v>
      </c>
      <c r="AN262" s="49">
        <f t="shared" si="232"/>
        <v>0.55319004438478592</v>
      </c>
      <c r="AO262" s="81">
        <f t="shared" si="243"/>
        <v>2.6327254740067096</v>
      </c>
      <c r="AP262" s="81">
        <f t="shared" si="233"/>
        <v>6.4310548951757891</v>
      </c>
      <c r="AR262" s="58">
        <v>0.55319004438478592</v>
      </c>
      <c r="AS262" s="155">
        <v>2.6327254740067096</v>
      </c>
      <c r="AT262" s="155">
        <v>6.4310548951757891</v>
      </c>
      <c r="AU262" s="140"/>
      <c r="AV262" s="49">
        <f t="shared" si="234"/>
        <v>8.1809955615214092E-2</v>
      </c>
      <c r="AW262" s="162">
        <f t="shared" si="235"/>
        <v>8.1809955615214092E-5</v>
      </c>
      <c r="AX262" s="10">
        <f t="shared" si="236"/>
        <v>27</v>
      </c>
      <c r="AY262" s="55">
        <f t="shared" si="237"/>
        <v>1.8399877117417801E-3</v>
      </c>
      <c r="AZ262" s="55">
        <f t="shared" si="238"/>
        <v>1.0804390556322842E-3</v>
      </c>
      <c r="BB262" s="58">
        <v>8.1809955615214092E-2</v>
      </c>
      <c r="BC262" s="167">
        <v>8.1809955615214092E-5</v>
      </c>
      <c r="BD262" s="168">
        <v>27</v>
      </c>
      <c r="BE262" s="170">
        <v>1.8399877117417801E-3</v>
      </c>
      <c r="BF262" s="171">
        <v>1.0804390556322842E-3</v>
      </c>
      <c r="BH262" s="81">
        <f t="shared" si="244"/>
        <v>364.14714732730789</v>
      </c>
      <c r="BI262" s="80">
        <v>364.14714732730789</v>
      </c>
      <c r="BK262" s="81">
        <f t="shared" si="245"/>
        <v>30.565307982614843</v>
      </c>
      <c r="BL262" s="81">
        <f t="shared" si="246"/>
        <v>26.951333909453183</v>
      </c>
      <c r="BM262" s="81">
        <f t="shared" si="247"/>
        <v>3.6139740731616605</v>
      </c>
      <c r="BN262" s="192">
        <f t="shared" si="248"/>
        <v>0.11823777713011244</v>
      </c>
      <c r="BO262" s="81">
        <f t="shared" si="249"/>
        <v>27</v>
      </c>
      <c r="BP262" s="49">
        <f t="shared" si="250"/>
        <v>3.1924199825130359</v>
      </c>
      <c r="BQ262" s="82">
        <f t="shared" si="251"/>
        <v>2954.743227645356</v>
      </c>
      <c r="BS262" s="193">
        <v>2954.743227645356</v>
      </c>
    </row>
    <row r="263" spans="1:71" x14ac:dyDescent="0.25">
      <c r="A263">
        <v>11</v>
      </c>
      <c r="C263" s="9" t="s">
        <v>77</v>
      </c>
      <c r="D263" s="10" t="s">
        <v>78</v>
      </c>
      <c r="E263" s="11" t="s">
        <v>79</v>
      </c>
      <c r="F263" s="33">
        <v>44551</v>
      </c>
      <c r="G263" s="34">
        <v>0.16319444444444445</v>
      </c>
      <c r="H263" s="28">
        <v>23</v>
      </c>
      <c r="I263" s="28">
        <v>22</v>
      </c>
      <c r="J263" s="28" t="s">
        <v>85</v>
      </c>
      <c r="K263" s="10">
        <v>138</v>
      </c>
      <c r="L263" s="47">
        <f>+((101325*(1-(2.25577*10^-5)*(K263))^5.25588))</f>
        <v>99678.130068961269</v>
      </c>
      <c r="M263" s="10">
        <f t="shared" si="231"/>
        <v>0.99678130068961268</v>
      </c>
      <c r="N263" s="10" t="s">
        <v>15</v>
      </c>
      <c r="O263" s="10">
        <f>_xll.HumidairTdbRHPsi(H263,I263,M263,N263)</f>
        <v>3.8981904176363909E-3</v>
      </c>
      <c r="P263" s="49">
        <f>+O263*1000</f>
        <v>3.8981904176363908</v>
      </c>
      <c r="Q263" s="31"/>
      <c r="R263" s="58">
        <v>3.8981904176363908</v>
      </c>
      <c r="S263" s="4"/>
      <c r="T263" s="10">
        <v>11</v>
      </c>
      <c r="U263" s="10" t="s">
        <v>144</v>
      </c>
      <c r="V263" s="78">
        <f>_xll.HumidairTdbRHPsi(H263, I263,M263,U263)</f>
        <v>0.16157962957242944</v>
      </c>
      <c r="W263" s="79">
        <v>0.16157962957242944</v>
      </c>
      <c r="X263" s="4"/>
      <c r="Y263" s="10">
        <v>11</v>
      </c>
      <c r="Z263" s="10" t="s">
        <v>145</v>
      </c>
      <c r="AA263" s="78">
        <f>_xll.HumidairTdbRHPsi(H263,I263,M263,Z263)</f>
        <v>33.056291820652987</v>
      </c>
      <c r="AB263" s="81">
        <f t="shared" si="241"/>
        <v>70.056291820652987</v>
      </c>
      <c r="AC263" s="80">
        <v>70.056291820652987</v>
      </c>
      <c r="AE263" s="10" t="s">
        <v>146</v>
      </c>
      <c r="AF263" s="78">
        <f>_xll.HumidairTdbRHPsi(H263,I263,M263,AE263)</f>
        <v>23.143406447250428</v>
      </c>
      <c r="AG263" s="81">
        <f t="shared" si="242"/>
        <v>60.143406447250428</v>
      </c>
      <c r="AH263" s="80">
        <v>60.143406447250428</v>
      </c>
      <c r="AJ263" s="10" t="s">
        <v>150</v>
      </c>
      <c r="AK263" s="84">
        <f>_xll.HumidairTdbRHPsi(H263,I263,M263,AJ263)</f>
        <v>0.85258375932810404</v>
      </c>
      <c r="AL263" s="58">
        <v>0.85258375932810404</v>
      </c>
      <c r="AN263" s="49">
        <f t="shared" si="232"/>
        <v>0.49825473629142603</v>
      </c>
      <c r="AO263" s="81">
        <f t="shared" si="243"/>
        <v>7.8236896384590793</v>
      </c>
      <c r="AP263" s="81">
        <f t="shared" si="233"/>
        <v>19.111213092482174</v>
      </c>
      <c r="AR263" s="58">
        <v>0.49825473629142603</v>
      </c>
      <c r="AS263" s="155">
        <v>7.8236896384590793</v>
      </c>
      <c r="AT263" s="155">
        <v>19.111213092482174</v>
      </c>
      <c r="AU263" s="140"/>
      <c r="AV263" s="49">
        <f t="shared" si="234"/>
        <v>0.13674526370857398</v>
      </c>
      <c r="AW263" s="162">
        <f t="shared" si="235"/>
        <v>1.3674526370857399E-4</v>
      </c>
      <c r="AX263" s="10">
        <f t="shared" si="236"/>
        <v>60</v>
      </c>
      <c r="AY263" s="55">
        <f t="shared" si="237"/>
        <v>6.8345282801545284E-3</v>
      </c>
      <c r="AZ263" s="55">
        <f t="shared" si="238"/>
        <v>4.0132285849410034E-3</v>
      </c>
      <c r="BB263" s="58">
        <v>0.13674526370857398</v>
      </c>
      <c r="BC263" s="167">
        <v>1.3674526370857399E-4</v>
      </c>
      <c r="BD263" s="168">
        <v>60</v>
      </c>
      <c r="BE263" s="170">
        <v>6.8345282801545284E-3</v>
      </c>
      <c r="BF263" s="171">
        <v>4.0132285849410034E-3</v>
      </c>
      <c r="BH263" s="81">
        <f t="shared" si="244"/>
        <v>327.98500751152136</v>
      </c>
      <c r="BI263" s="80">
        <v>327.98500751152136</v>
      </c>
      <c r="BK263" s="81">
        <f t="shared" si="245"/>
        <v>70.056291820652987</v>
      </c>
      <c r="BL263" s="81">
        <f t="shared" si="246"/>
        <v>60.143406447250428</v>
      </c>
      <c r="BM263" s="81">
        <f t="shared" si="247"/>
        <v>9.9128853734025597</v>
      </c>
      <c r="BN263" s="192">
        <f t="shared" si="248"/>
        <v>0.14149885921424385</v>
      </c>
      <c r="BO263" s="81">
        <f t="shared" si="249"/>
        <v>60</v>
      </c>
      <c r="BP263" s="49">
        <f t="shared" si="250"/>
        <v>8.4899315528546317</v>
      </c>
      <c r="BQ263" s="82">
        <f t="shared" si="251"/>
        <v>2115.4866644555805</v>
      </c>
      <c r="BS263" s="193">
        <v>2115.4866644555805</v>
      </c>
    </row>
    <row r="264" spans="1:71" x14ac:dyDescent="0.25">
      <c r="A264">
        <v>12</v>
      </c>
      <c r="B264" s="1" t="s">
        <v>48</v>
      </c>
      <c r="C264" s="9" t="s">
        <v>45</v>
      </c>
      <c r="D264" s="10" t="s">
        <v>46</v>
      </c>
      <c r="E264" s="11" t="s">
        <v>47</v>
      </c>
      <c r="F264" s="33">
        <v>44551</v>
      </c>
      <c r="G264" s="29">
        <v>0.70277777777777783</v>
      </c>
      <c r="H264" s="28">
        <v>30</v>
      </c>
      <c r="I264" s="28">
        <v>78</v>
      </c>
      <c r="J264" s="28" t="s">
        <v>130</v>
      </c>
      <c r="K264" s="10">
        <v>30</v>
      </c>
      <c r="L264" s="47">
        <f>+((101325*(1-(2.25577*10^-5)*(K264))^5.25588))</f>
        <v>100965.12412724759</v>
      </c>
      <c r="M264" s="10">
        <f t="shared" si="231"/>
        <v>1.0096512412724759</v>
      </c>
      <c r="N264" s="10" t="s">
        <v>15</v>
      </c>
      <c r="O264" s="10">
        <f>_xll.HumidairTdbRHPsi(H264,I264,M264,N264)</f>
        <v>2.1189289268815636E-2</v>
      </c>
      <c r="P264" s="49">
        <f>+O264*1000</f>
        <v>21.189289268815635</v>
      </c>
      <c r="Q264" s="31"/>
      <c r="R264" s="58">
        <v>21.189289268815635</v>
      </c>
      <c r="S264" s="4"/>
      <c r="T264" s="10">
        <v>12</v>
      </c>
      <c r="U264" s="10" t="s">
        <v>144</v>
      </c>
      <c r="V264" s="78">
        <f>_xll.HumidairTdbRHPsi(H264, I264,M264,U264)</f>
        <v>25.74314830108051</v>
      </c>
      <c r="W264" s="79">
        <v>25.74314830108051</v>
      </c>
      <c r="X264" s="4"/>
      <c r="Y264" s="10">
        <v>12</v>
      </c>
      <c r="Z264" s="10" t="s">
        <v>145</v>
      </c>
      <c r="AA264" s="78">
        <f>_xll.HumidairTdbRHPsi(H264,I264,M264,Z264)</f>
        <v>84.326304562899878</v>
      </c>
      <c r="AB264" s="81">
        <f t="shared" si="241"/>
        <v>121.32630456289988</v>
      </c>
      <c r="AC264" s="80">
        <v>121.32630456289988</v>
      </c>
      <c r="AE264" s="10" t="s">
        <v>146</v>
      </c>
      <c r="AF264" s="78">
        <f>_xll.HumidairTdbRHPsi(H264,I264,M264,AE264)</f>
        <v>30.185814436208076</v>
      </c>
      <c r="AG264" s="81">
        <f t="shared" si="242"/>
        <v>67.185814436208076</v>
      </c>
      <c r="AH264" s="80">
        <v>67.185814436208076</v>
      </c>
      <c r="AJ264" s="10" t="s">
        <v>150</v>
      </c>
      <c r="AK264" s="84">
        <f>_xll.HumidairTdbRHPsi(H264,I264,M264,AJ264)</f>
        <v>0.86166164856039229</v>
      </c>
      <c r="AL264" s="58">
        <v>0.86166164856039229</v>
      </c>
      <c r="AN264" s="49">
        <f t="shared" si="232"/>
        <v>0.49300545855802169</v>
      </c>
      <c r="AO264" s="81">
        <f t="shared" si="243"/>
        <v>42.979826898451819</v>
      </c>
      <c r="AP264" s="81">
        <f t="shared" si="233"/>
        <v>104.9883965867655</v>
      </c>
      <c r="AR264" s="58">
        <v>0.49300545855802169</v>
      </c>
      <c r="AS264" s="155">
        <v>42.979826898451819</v>
      </c>
      <c r="AT264" s="155">
        <v>104.9883965867655</v>
      </c>
      <c r="AU264" s="140"/>
      <c r="AV264" s="49">
        <f t="shared" si="234"/>
        <v>0.14199454144197832</v>
      </c>
      <c r="AW264" s="162">
        <f t="shared" si="235"/>
        <v>1.4199454144197833E-4</v>
      </c>
      <c r="AX264" s="10">
        <f t="shared" si="236"/>
        <v>67</v>
      </c>
      <c r="AY264" s="55">
        <f t="shared" si="237"/>
        <v>7.9248573524182513E-3</v>
      </c>
      <c r="AZ264" s="55">
        <f t="shared" si="238"/>
        <v>4.6534687917899305E-3</v>
      </c>
      <c r="BB264" s="58">
        <v>0.14199454144197832</v>
      </c>
      <c r="BC264" s="167">
        <v>1.4199454144197833E-4</v>
      </c>
      <c r="BD264" s="168">
        <v>67</v>
      </c>
      <c r="BE264" s="170">
        <v>7.9248573524182513E-3</v>
      </c>
      <c r="BF264" s="171">
        <v>4.6534687917899305E-3</v>
      </c>
      <c r="BH264" s="81">
        <f t="shared" si="244"/>
        <v>324.52957744449299</v>
      </c>
      <c r="BI264" s="80">
        <v>324.52957744449299</v>
      </c>
      <c r="BK264" s="81">
        <f t="shared" si="245"/>
        <v>121.32630456289988</v>
      </c>
      <c r="BL264" s="81">
        <f t="shared" si="246"/>
        <v>67.185814436208076</v>
      </c>
      <c r="BM264" s="81">
        <f t="shared" si="247"/>
        <v>54.140490126691802</v>
      </c>
      <c r="BN264" s="192">
        <f t="shared" si="248"/>
        <v>0.44623868106543574</v>
      </c>
      <c r="BO264" s="81">
        <f t="shared" si="249"/>
        <v>67</v>
      </c>
      <c r="BP264" s="49">
        <f t="shared" si="250"/>
        <v>29.897991631384194</v>
      </c>
      <c r="BQ264" s="82">
        <f t="shared" si="251"/>
        <v>6424.8828065921334</v>
      </c>
      <c r="BS264" s="193">
        <v>6424.8828065921334</v>
      </c>
    </row>
    <row r="265" spans="1:71" x14ac:dyDescent="0.25">
      <c r="A265">
        <v>13</v>
      </c>
      <c r="C265" s="26" t="s">
        <v>49</v>
      </c>
      <c r="D265" s="27" t="s">
        <v>50</v>
      </c>
      <c r="E265" s="10" t="s">
        <v>51</v>
      </c>
      <c r="F265" s="33">
        <v>44551</v>
      </c>
      <c r="G265" s="29">
        <v>0.99722222222222223</v>
      </c>
      <c r="H265" s="28">
        <v>26</v>
      </c>
      <c r="I265" s="28">
        <v>87</v>
      </c>
      <c r="J265" s="28" t="s">
        <v>85</v>
      </c>
      <c r="K265" s="10">
        <v>3</v>
      </c>
      <c r="L265" s="47">
        <f>+((101325*(1-(2.25577*10^-5)*(K265))^5.25588))</f>
        <v>101288.96574192833</v>
      </c>
      <c r="M265" s="10">
        <f t="shared" si="231"/>
        <v>1.0128896574192834</v>
      </c>
      <c r="N265" s="10" t="s">
        <v>15</v>
      </c>
      <c r="O265" s="10">
        <f>_xll.HumidairTdbRHPsi(H265,I265,M265,N265)</f>
        <v>1.8582072293385207E-2</v>
      </c>
      <c r="P265" s="49">
        <f>+O265*1000</f>
        <v>18.582072293385206</v>
      </c>
      <c r="Q265" s="31"/>
      <c r="R265" s="58">
        <v>18.582072293385206</v>
      </c>
      <c r="S265" s="4"/>
      <c r="T265" s="10">
        <v>13</v>
      </c>
      <c r="U265" s="10" t="s">
        <v>144</v>
      </c>
      <c r="V265" s="78">
        <f>_xll.HumidairTdbRHPsi(H265, I265,M265,U265)</f>
        <v>23.668041072725146</v>
      </c>
      <c r="W265" s="79">
        <v>23.668041072725146</v>
      </c>
      <c r="X265" s="4"/>
      <c r="Y265" s="10">
        <v>13</v>
      </c>
      <c r="Z265" s="10" t="s">
        <v>145</v>
      </c>
      <c r="AA265" s="78">
        <f>_xll.HumidairTdbRHPsi(H265,I265,M265,Z265)</f>
        <v>73.499721437064778</v>
      </c>
      <c r="AB265" s="81">
        <f t="shared" si="241"/>
        <v>110.49972143706478</v>
      </c>
      <c r="AC265" s="80">
        <v>110.49972143706478</v>
      </c>
      <c r="AE265" s="10" t="s">
        <v>146</v>
      </c>
      <c r="AF265" s="78">
        <f>_xll.HumidairTdbRHPsi(H265,I265,M265,AE265)</f>
        <v>26.158907649455458</v>
      </c>
      <c r="AG265" s="81">
        <f t="shared" si="242"/>
        <v>63.158907649455458</v>
      </c>
      <c r="AH265" s="80">
        <v>63.158907649455458</v>
      </c>
      <c r="AJ265" s="10" t="s">
        <v>150</v>
      </c>
      <c r="AK265" s="84">
        <f>_xll.HumidairTdbRHPsi(H265,I265,M265,AJ265)</f>
        <v>0.84754317269065793</v>
      </c>
      <c r="AL265" s="58">
        <v>0.84754317269065793</v>
      </c>
      <c r="AN265" s="49">
        <f t="shared" si="232"/>
        <v>0.50121800264377203</v>
      </c>
      <c r="AO265" s="81">
        <f t="shared" si="243"/>
        <v>37.073832534686396</v>
      </c>
      <c r="AP265" s="81">
        <f t="shared" si="233"/>
        <v>90.561607945498523</v>
      </c>
      <c r="AR265" s="58">
        <v>0.50121800264377203</v>
      </c>
      <c r="AS265" s="155">
        <v>37.073832534686396</v>
      </c>
      <c r="AT265" s="155">
        <v>90.561607945498523</v>
      </c>
      <c r="AU265" s="140"/>
      <c r="AV265" s="49">
        <f t="shared" si="234"/>
        <v>0.13378199735622798</v>
      </c>
      <c r="AW265" s="162">
        <f t="shared" si="235"/>
        <v>1.3378199735622799E-4</v>
      </c>
      <c r="AX265" s="10">
        <f t="shared" si="236"/>
        <v>63</v>
      </c>
      <c r="AY265" s="55">
        <f t="shared" si="237"/>
        <v>7.0207454392574881E-3</v>
      </c>
      <c r="AZ265" s="55">
        <f t="shared" si="238"/>
        <v>4.1225751258117957E-3</v>
      </c>
      <c r="BB265" s="58">
        <v>0.13378199735622798</v>
      </c>
      <c r="BC265" s="167">
        <v>1.3378199735622799E-4</v>
      </c>
      <c r="BD265" s="168">
        <v>63</v>
      </c>
      <c r="BE265" s="170">
        <v>7.0207454392574881E-3</v>
      </c>
      <c r="BF265" s="171">
        <v>4.1225751258117957E-3</v>
      </c>
      <c r="BH265" s="81">
        <f t="shared" si="244"/>
        <v>329.93563008676648</v>
      </c>
      <c r="BI265" s="80">
        <v>329.93563008676648</v>
      </c>
      <c r="BK265" s="81">
        <f t="shared" si="245"/>
        <v>110.49972143706478</v>
      </c>
      <c r="BL265" s="81">
        <f t="shared" si="246"/>
        <v>63.158907649455458</v>
      </c>
      <c r="BM265" s="81">
        <f t="shared" si="247"/>
        <v>47.340813787609321</v>
      </c>
      <c r="BN265" s="192">
        <f t="shared" si="248"/>
        <v>0.42842473421593491</v>
      </c>
      <c r="BO265" s="81">
        <f t="shared" si="249"/>
        <v>63</v>
      </c>
      <c r="BP265" s="49">
        <f t="shared" si="250"/>
        <v>26.9907582556039</v>
      </c>
      <c r="BQ265" s="82">
        <f t="shared" si="251"/>
        <v>6547.0628022306864</v>
      </c>
      <c r="BS265" s="193">
        <v>6547.0628022306864</v>
      </c>
    </row>
    <row r="266" spans="1:71" x14ac:dyDescent="0.25">
      <c r="A266" s="5">
        <v>14</v>
      </c>
      <c r="B266" s="14"/>
      <c r="C266" s="9" t="s">
        <v>172</v>
      </c>
      <c r="D266" s="10" t="s">
        <v>83</v>
      </c>
      <c r="E266" s="10" t="s">
        <v>84</v>
      </c>
      <c r="F266" s="33">
        <v>44551</v>
      </c>
      <c r="G266" s="29">
        <v>0.78888888888888886</v>
      </c>
      <c r="H266" s="28">
        <v>28</v>
      </c>
      <c r="I266" s="28">
        <v>73</v>
      </c>
      <c r="J266" s="28" t="s">
        <v>85</v>
      </c>
      <c r="K266" s="10">
        <v>61</v>
      </c>
      <c r="L266" s="47">
        <f>+((101325*(1-(2.25577*10^-5)*(K266))^5.25588))</f>
        <v>100594.34040699142</v>
      </c>
      <c r="M266" s="10">
        <f t="shared" si="231"/>
        <v>1.0059434040699142</v>
      </c>
      <c r="N266" s="10" t="s">
        <v>15</v>
      </c>
      <c r="O266" s="10">
        <f>_xll.HumidairTdbRHPsi(H266,I266,M266,N266)</f>
        <v>1.7630337044873649E-2</v>
      </c>
      <c r="P266" s="49">
        <f>+O266*1000</f>
        <v>17.630337044873649</v>
      </c>
      <c r="Q266" s="31"/>
      <c r="R266" s="58">
        <v>17.630337044873649</v>
      </c>
      <c r="S266" s="4"/>
      <c r="T266" s="10">
        <v>14</v>
      </c>
      <c r="U266" s="10" t="s">
        <v>144</v>
      </c>
      <c r="V266" s="78">
        <f>_xll.HumidairTdbRHPsi(H266, I266,M266,U266)</f>
        <v>22.709699645301782</v>
      </c>
      <c r="W266" s="79">
        <v>22.709699645301782</v>
      </c>
      <c r="X266" s="4"/>
      <c r="Y266" s="10">
        <v>14</v>
      </c>
      <c r="Z266" s="10" t="s">
        <v>145</v>
      </c>
      <c r="AA266" s="78">
        <f>_xll.HumidairTdbRHPsi(H266,I266,M266,Z266)</f>
        <v>73.157470808090807</v>
      </c>
      <c r="AB266" s="81">
        <f t="shared" si="241"/>
        <v>110.15747080809081</v>
      </c>
      <c r="AC266" s="80">
        <v>110.15747080809081</v>
      </c>
      <c r="AE266" s="10" t="s">
        <v>146</v>
      </c>
      <c r="AF266" s="78">
        <f>_xll.HumidairTdbRHPsi(H266,I266,M266,AE266)</f>
        <v>28.173494377162616</v>
      </c>
      <c r="AG266" s="81">
        <f t="shared" si="242"/>
        <v>65.173494377162612</v>
      </c>
      <c r="AH266" s="80">
        <v>65.173494377162612</v>
      </c>
      <c r="AJ266" s="10" t="s">
        <v>150</v>
      </c>
      <c r="AK266" s="84">
        <f>_xll.HumidairTdbRHPsi(H266,I266,M266,AJ266)</f>
        <v>0.85911805434803001</v>
      </c>
      <c r="AL266" s="58">
        <v>0.85911805434803001</v>
      </c>
      <c r="AN266" s="49">
        <f t="shared" si="232"/>
        <v>0.49446510176387054</v>
      </c>
      <c r="AO266" s="81">
        <f t="shared" si="243"/>
        <v>35.655371798701644</v>
      </c>
      <c r="AP266" s="81">
        <f t="shared" si="233"/>
        <v>87.096681978156226</v>
      </c>
      <c r="AR266" s="58">
        <v>0.49446510176387054</v>
      </c>
      <c r="AS266" s="155">
        <v>35.655371798701644</v>
      </c>
      <c r="AT266" s="155">
        <v>87.096681978156226</v>
      </c>
      <c r="AU266" s="140"/>
      <c r="AV266" s="49">
        <f t="shared" si="234"/>
        <v>0.14053489823612947</v>
      </c>
      <c r="AW266" s="162">
        <f t="shared" si="235"/>
        <v>1.4053489823612946E-4</v>
      </c>
      <c r="AX266" s="10">
        <f t="shared" si="236"/>
        <v>65</v>
      </c>
      <c r="AY266" s="55">
        <f t="shared" si="237"/>
        <v>7.6092620649952291E-3</v>
      </c>
      <c r="AZ266" s="55">
        <f t="shared" si="238"/>
        <v>4.4681515355227417E-3</v>
      </c>
      <c r="BB266" s="58">
        <v>0.14053489823612947</v>
      </c>
      <c r="BC266" s="167">
        <v>1.4053489823612946E-4</v>
      </c>
      <c r="BD266" s="168">
        <v>65</v>
      </c>
      <c r="BE266" s="170">
        <v>7.6092620649952291E-3</v>
      </c>
      <c r="BF266" s="171">
        <v>4.4681515355227417E-3</v>
      </c>
      <c r="BH266" s="81">
        <f t="shared" si="244"/>
        <v>325.49041344456356</v>
      </c>
      <c r="BI266" s="80">
        <v>325.49041344456356</v>
      </c>
      <c r="BK266" s="81">
        <f t="shared" si="245"/>
        <v>110.15747080809081</v>
      </c>
      <c r="BL266" s="81">
        <f t="shared" si="246"/>
        <v>65.173494377162612</v>
      </c>
      <c r="BM266" s="81">
        <f t="shared" si="247"/>
        <v>44.983976430928195</v>
      </c>
      <c r="BN266" s="192">
        <f t="shared" si="248"/>
        <v>0.40836065044826925</v>
      </c>
      <c r="BO266" s="81">
        <f t="shared" si="249"/>
        <v>65</v>
      </c>
      <c r="BP266" s="49">
        <f t="shared" si="250"/>
        <v>26.543442279137501</v>
      </c>
      <c r="BQ266" s="82">
        <f t="shared" si="251"/>
        <v>5940.5868552379143</v>
      </c>
      <c r="BS266" s="193">
        <v>5940.5868552379143</v>
      </c>
    </row>
    <row r="267" spans="1:71" x14ac:dyDescent="0.25">
      <c r="A267">
        <v>15</v>
      </c>
      <c r="C267" s="9" t="s">
        <v>52</v>
      </c>
      <c r="D267" s="10" t="s">
        <v>53</v>
      </c>
      <c r="E267" s="10" t="s">
        <v>54</v>
      </c>
      <c r="F267" s="33">
        <v>44551</v>
      </c>
      <c r="G267" s="29">
        <v>3.5416666666666666E-2</v>
      </c>
      <c r="H267" s="28">
        <v>27</v>
      </c>
      <c r="I267" s="28">
        <v>35</v>
      </c>
      <c r="J267" s="28" t="s">
        <v>90</v>
      </c>
      <c r="K267" s="10">
        <v>533</v>
      </c>
      <c r="L267" s="47">
        <f t="shared" ref="L267:L272" si="252">+((101325*(1-(2.25577*10^-5)*(K267))^5.25588))</f>
        <v>95083.68775760736</v>
      </c>
      <c r="M267" s="10">
        <f t="shared" si="231"/>
        <v>0.9508368775760736</v>
      </c>
      <c r="N267" s="10" t="s">
        <v>15</v>
      </c>
      <c r="O267" s="10">
        <f>_xll.HumidairTdbRHPsi(H267,I267,M267,N267)</f>
        <v>8.3102246852320271E-3</v>
      </c>
      <c r="P267" s="49">
        <f t="shared" ref="P267:P272" si="253">+O267*1000</f>
        <v>8.3102246852320274</v>
      </c>
      <c r="Q267" s="31"/>
      <c r="R267" s="58">
        <v>8.3102246852320274</v>
      </c>
      <c r="S267" s="4"/>
      <c r="T267" s="10">
        <v>15</v>
      </c>
      <c r="U267" s="10" t="s">
        <v>144</v>
      </c>
      <c r="V267" s="78">
        <f>_xll.HumidairTdbRHPsi(H267, I267,M267,U267)</f>
        <v>10.253127462711404</v>
      </c>
      <c r="W267" s="79">
        <v>10.253127462711404</v>
      </c>
      <c r="X267" s="4"/>
      <c r="Y267" s="10">
        <v>15</v>
      </c>
      <c r="Z267" s="10" t="s">
        <v>145</v>
      </c>
      <c r="AA267" s="78">
        <f>_xll.HumidairTdbRHPsi(H267,I267,M267,Z267)</f>
        <v>48.372549236758388</v>
      </c>
      <c r="AB267" s="81">
        <f t="shared" si="241"/>
        <v>85.372549236758388</v>
      </c>
      <c r="AC267" s="80">
        <v>85.372549236758388</v>
      </c>
      <c r="AE267" s="10" t="s">
        <v>146</v>
      </c>
      <c r="AF267" s="78">
        <f>_xll.HumidairTdbRHPsi(H267,I267,M267,AE267)</f>
        <v>27.179497796962767</v>
      </c>
      <c r="AG267" s="81">
        <f t="shared" si="242"/>
        <v>64.179497796962764</v>
      </c>
      <c r="AH267" s="80">
        <v>64.179497796962764</v>
      </c>
      <c r="AJ267" s="10" t="s">
        <v>150</v>
      </c>
      <c r="AK267" s="84">
        <f>_xll.HumidairTdbRHPsi(H267,I267,M267,AJ267)</f>
        <v>0.90589712884017792</v>
      </c>
      <c r="AL267" s="58">
        <v>0.90589712884017792</v>
      </c>
      <c r="AN267" s="49">
        <f t="shared" si="232"/>
        <v>0.46893171713023807</v>
      </c>
      <c r="AO267" s="81">
        <f t="shared" si="243"/>
        <v>17.721609312521718</v>
      </c>
      <c r="AP267" s="81">
        <f t="shared" si="233"/>
        <v>43.289223827138457</v>
      </c>
      <c r="AR267" s="58">
        <v>0.46893171713023807</v>
      </c>
      <c r="AS267" s="155">
        <v>17.721609312521718</v>
      </c>
      <c r="AT267" s="155">
        <v>43.289223827138457</v>
      </c>
      <c r="AU267" s="140"/>
      <c r="AV267" s="49">
        <f t="shared" si="234"/>
        <v>0.16606828286976194</v>
      </c>
      <c r="AW267" s="162">
        <f t="shared" si="235"/>
        <v>1.6606828286976194E-4</v>
      </c>
      <c r="AX267" s="10">
        <f t="shared" si="236"/>
        <v>64</v>
      </c>
      <c r="AY267" s="55">
        <f t="shared" si="237"/>
        <v>8.8534322963527475E-3</v>
      </c>
      <c r="AZ267" s="55">
        <f t="shared" si="238"/>
        <v>5.1987271264549309E-3</v>
      </c>
      <c r="BB267" s="58">
        <v>0.16606828286976194</v>
      </c>
      <c r="BC267" s="167">
        <v>1.6606828286976194E-4</v>
      </c>
      <c r="BD267" s="168">
        <v>64</v>
      </c>
      <c r="BE267" s="170">
        <v>8.8534322963527475E-3</v>
      </c>
      <c r="BF267" s="171">
        <v>5.1987271264549309E-3</v>
      </c>
      <c r="BH267" s="81">
        <f t="shared" si="244"/>
        <v>308.68261064636141</v>
      </c>
      <c r="BI267" s="80">
        <v>308.68261064636141</v>
      </c>
      <c r="BK267" s="81">
        <f t="shared" si="245"/>
        <v>85.372549236758388</v>
      </c>
      <c r="BL267" s="81">
        <f t="shared" si="246"/>
        <v>64.179497796962764</v>
      </c>
      <c r="BM267" s="81">
        <f t="shared" si="247"/>
        <v>21.193051439795624</v>
      </c>
      <c r="BN267" s="192">
        <f t="shared" si="248"/>
        <v>0.24824198913191933</v>
      </c>
      <c r="BO267" s="81">
        <f t="shared" si="249"/>
        <v>64</v>
      </c>
      <c r="BP267" s="49">
        <f t="shared" si="250"/>
        <v>15.887487304442837</v>
      </c>
      <c r="BQ267" s="82">
        <f t="shared" si="251"/>
        <v>3056.0340864200521</v>
      </c>
      <c r="BS267" s="193">
        <v>3056.0340864200521</v>
      </c>
    </row>
    <row r="268" spans="1:71" x14ac:dyDescent="0.25">
      <c r="A268">
        <v>16</v>
      </c>
      <c r="C268" s="9" t="s">
        <v>55</v>
      </c>
      <c r="D268" s="10" t="s">
        <v>56</v>
      </c>
      <c r="E268" s="11" t="s">
        <v>57</v>
      </c>
      <c r="F268" s="33">
        <v>44551</v>
      </c>
      <c r="G268" s="29">
        <v>0.74305555555555547</v>
      </c>
      <c r="H268" s="28">
        <v>21</v>
      </c>
      <c r="I268" s="28">
        <v>82</v>
      </c>
      <c r="J268" s="28" t="s">
        <v>90</v>
      </c>
      <c r="K268" s="10">
        <v>61</v>
      </c>
      <c r="L268" s="47">
        <f t="shared" si="252"/>
        <v>100594.34040699142</v>
      </c>
      <c r="M268" s="10">
        <f t="shared" si="231"/>
        <v>1.0059434040699142</v>
      </c>
      <c r="N268" s="10" t="s">
        <v>15</v>
      </c>
      <c r="O268" s="10">
        <f>_xll.HumidairTdbRHPsi(H268,I268,M268,N268)</f>
        <v>1.2927348715887131E-2</v>
      </c>
      <c r="P268" s="49">
        <f t="shared" si="253"/>
        <v>12.927348715887131</v>
      </c>
      <c r="Q268" s="31"/>
      <c r="R268" s="58">
        <v>12.927348715887131</v>
      </c>
      <c r="S268" s="4"/>
      <c r="T268" s="10">
        <v>16</v>
      </c>
      <c r="U268" s="10" t="s">
        <v>144</v>
      </c>
      <c r="V268" s="78">
        <f>_xll.HumidairTdbRHPsi(H268, I268,M268,U268)</f>
        <v>17.812112847140043</v>
      </c>
      <c r="W268" s="79">
        <v>17.812112847140043</v>
      </c>
      <c r="X268" s="4"/>
      <c r="Y268" s="10">
        <v>16</v>
      </c>
      <c r="Z268" s="10" t="s">
        <v>145</v>
      </c>
      <c r="AA268" s="78">
        <f>_xll.HumidairTdbRHPsi(H268,I268,M268,Z268)</f>
        <v>53.945761287259145</v>
      </c>
      <c r="AB268" s="81">
        <f t="shared" si="241"/>
        <v>90.945761287259145</v>
      </c>
      <c r="AC268" s="80">
        <v>90.945761287259145</v>
      </c>
      <c r="AE268" s="10" t="s">
        <v>146</v>
      </c>
      <c r="AF268" s="78">
        <f>_xll.HumidairTdbRHPsi(H268,I268,M268,AE268)</f>
        <v>21.128606014943504</v>
      </c>
      <c r="AG268" s="81">
        <f t="shared" si="242"/>
        <v>58.1286060149435</v>
      </c>
      <c r="AH268" s="80">
        <v>58.1286060149435</v>
      </c>
      <c r="AJ268" s="10" t="s">
        <v>150</v>
      </c>
      <c r="AK268" s="84">
        <f>_xll.HumidairTdbRHPsi(H268,I268,M268,AJ268)</f>
        <v>0.83909472406394281</v>
      </c>
      <c r="AL268" s="58">
        <v>0.83909472406394281</v>
      </c>
      <c r="AN268" s="49">
        <f t="shared" si="232"/>
        <v>0.50626453007944927</v>
      </c>
      <c r="AO268" s="81">
        <f t="shared" si="243"/>
        <v>25.534770752867896</v>
      </c>
      <c r="AP268" s="81">
        <f t="shared" si="233"/>
        <v>62.374719304669952</v>
      </c>
      <c r="AR268" s="58">
        <v>0.50626453007944927</v>
      </c>
      <c r="AS268" s="155">
        <v>25.534770752867896</v>
      </c>
      <c r="AT268" s="155">
        <v>62.374719304669952</v>
      </c>
      <c r="AU268" s="140"/>
      <c r="AV268" s="49">
        <f t="shared" si="234"/>
        <v>0.12873546992055074</v>
      </c>
      <c r="AW268" s="162">
        <f t="shared" si="235"/>
        <v>1.2873546992055073E-4</v>
      </c>
      <c r="AX268" s="10">
        <f t="shared" si="236"/>
        <v>58</v>
      </c>
      <c r="AY268" s="55">
        <f t="shared" si="237"/>
        <v>6.2197254937414875E-3</v>
      </c>
      <c r="AZ268" s="55">
        <f t="shared" si="238"/>
        <v>3.6522169663778551E-3</v>
      </c>
      <c r="BB268" s="58">
        <v>0.12873546992055074</v>
      </c>
      <c r="BC268" s="167">
        <v>1.2873546992055073E-4</v>
      </c>
      <c r="BD268" s="168">
        <v>58</v>
      </c>
      <c r="BE268" s="170">
        <v>6.2197254937414875E-3</v>
      </c>
      <c r="BF268" s="171">
        <v>3.6522169663778551E-3</v>
      </c>
      <c r="BH268" s="81">
        <f t="shared" si="244"/>
        <v>333.25759617828311</v>
      </c>
      <c r="BI268" s="80">
        <v>333.25759617828311</v>
      </c>
      <c r="BK268" s="81">
        <f t="shared" si="245"/>
        <v>90.945761287259145</v>
      </c>
      <c r="BL268" s="81">
        <f t="shared" si="246"/>
        <v>58.1286060149435</v>
      </c>
      <c r="BM268" s="81">
        <f t="shared" si="247"/>
        <v>32.817155272315645</v>
      </c>
      <c r="BN268" s="192">
        <f t="shared" si="248"/>
        <v>0.36084315319171556</v>
      </c>
      <c r="BO268" s="81">
        <f t="shared" si="249"/>
        <v>58</v>
      </c>
      <c r="BP268" s="49">
        <f t="shared" si="250"/>
        <v>20.928902885119502</v>
      </c>
      <c r="BQ268" s="82">
        <f t="shared" si="251"/>
        <v>5730.4653797378523</v>
      </c>
      <c r="BS268" s="193">
        <v>5730.4653797378523</v>
      </c>
    </row>
    <row r="269" spans="1:71" x14ac:dyDescent="0.25">
      <c r="A269">
        <v>17</v>
      </c>
      <c r="B269" s="1" t="s">
        <v>58</v>
      </c>
      <c r="C269" s="15" t="s">
        <v>59</v>
      </c>
      <c r="D269" s="16" t="s">
        <v>60</v>
      </c>
      <c r="E269" s="4" t="s">
        <v>61</v>
      </c>
      <c r="F269" s="33">
        <v>44552</v>
      </c>
      <c r="G269" s="29">
        <v>0.11527777777777777</v>
      </c>
      <c r="H269" s="28">
        <v>13</v>
      </c>
      <c r="I269" s="28">
        <v>49</v>
      </c>
      <c r="J269" s="36" t="s">
        <v>95</v>
      </c>
      <c r="K269" s="10">
        <v>9</v>
      </c>
      <c r="L269" s="47">
        <f t="shared" si="252"/>
        <v>101216.9283556498</v>
      </c>
      <c r="M269" s="10">
        <f t="shared" si="231"/>
        <v>1.0121692835564979</v>
      </c>
      <c r="N269" s="10" t="s">
        <v>15</v>
      </c>
      <c r="O269" s="10">
        <f>_xll.HumidairTdbRHPsi(H269,I269,M269,N269)</f>
        <v>4.5610748634134363E-3</v>
      </c>
      <c r="P269" s="49">
        <f t="shared" si="253"/>
        <v>4.5610748634134364</v>
      </c>
      <c r="Q269" s="31"/>
      <c r="R269" s="58">
        <v>4.5610748634134364</v>
      </c>
      <c r="S269" s="4"/>
      <c r="T269" s="10">
        <v>17</v>
      </c>
      <c r="U269" s="10" t="s">
        <v>144</v>
      </c>
      <c r="V269" s="78">
        <f>_xll.HumidairTdbRHPsi(H269, I269,M269,U269)</f>
        <v>2.545427278739794</v>
      </c>
      <c r="W269" s="79">
        <v>2.545427278739794</v>
      </c>
      <c r="X269" s="4"/>
      <c r="Y269" s="10">
        <v>17</v>
      </c>
      <c r="Z269" s="10" t="s">
        <v>145</v>
      </c>
      <c r="AA269" s="78">
        <f>_xll.HumidairTdbRHPsi(H269,I269,M269,Z269)</f>
        <v>24.5903883604954</v>
      </c>
      <c r="AB269" s="81">
        <f t="shared" si="241"/>
        <v>61.590388360495396</v>
      </c>
      <c r="AC269" s="80">
        <v>61.590388360495396</v>
      </c>
      <c r="AE269" s="10" t="s">
        <v>146</v>
      </c>
      <c r="AF269" s="78">
        <f>_xll.HumidairTdbRHPsi(H269,I269,M269,AE269)</f>
        <v>13.077592973719327</v>
      </c>
      <c r="AG269" s="81">
        <f t="shared" si="242"/>
        <v>50.077592973719327</v>
      </c>
      <c r="AH269" s="80">
        <v>50.077592973719327</v>
      </c>
      <c r="AJ269" s="10" t="s">
        <v>150</v>
      </c>
      <c r="AK269" s="84">
        <f>_xll.HumidairTdbRHPsi(H269,I269,M269,AJ269)</f>
        <v>0.81118472249119811</v>
      </c>
      <c r="AL269" s="58">
        <v>0.81118472249119811</v>
      </c>
      <c r="AN269" s="49">
        <f t="shared" si="232"/>
        <v>0.52368330466799007</v>
      </c>
      <c r="AO269" s="81">
        <f t="shared" si="243"/>
        <v>8.7096052571412645</v>
      </c>
      <c r="AP269" s="81">
        <f t="shared" si="233"/>
        <v>21.275271606174449</v>
      </c>
      <c r="AR269" s="58">
        <v>0.52368330466799007</v>
      </c>
      <c r="AS269" s="155">
        <v>8.7096052571412645</v>
      </c>
      <c r="AT269" s="155">
        <v>21.275271606174449</v>
      </c>
      <c r="AU269" s="140"/>
      <c r="AV269" s="49">
        <f t="shared" si="234"/>
        <v>0.11131669533200994</v>
      </c>
      <c r="AW269" s="162">
        <f t="shared" si="235"/>
        <v>1.1131669533200994E-4</v>
      </c>
      <c r="AX269" s="10">
        <f t="shared" si="236"/>
        <v>50</v>
      </c>
      <c r="AY269" s="55">
        <f t="shared" si="237"/>
        <v>4.6363403605782141E-3</v>
      </c>
      <c r="AZ269" s="55">
        <f t="shared" si="238"/>
        <v>2.7224547038040012E-3</v>
      </c>
      <c r="BB269" s="58">
        <v>0.11131669533200994</v>
      </c>
      <c r="BC269" s="167">
        <v>1.1131669533200994E-4</v>
      </c>
      <c r="BD269" s="168">
        <v>50</v>
      </c>
      <c r="BE269" s="170">
        <v>4.6363403605782141E-3</v>
      </c>
      <c r="BF269" s="171">
        <v>2.7224547038040012E-3</v>
      </c>
      <c r="BH269" s="81">
        <f t="shared" si="244"/>
        <v>344.72381315152734</v>
      </c>
      <c r="BI269" s="80">
        <v>344.72381315152734</v>
      </c>
      <c r="BK269" s="81">
        <f t="shared" si="245"/>
        <v>61.590388360495396</v>
      </c>
      <c r="BL269" s="81">
        <f t="shared" si="246"/>
        <v>50.077592973719327</v>
      </c>
      <c r="BM269" s="81">
        <f t="shared" si="247"/>
        <v>11.51279538677607</v>
      </c>
      <c r="BN269" s="192">
        <f t="shared" si="248"/>
        <v>0.18692519552548356</v>
      </c>
      <c r="BO269" s="81">
        <f t="shared" si="249"/>
        <v>50</v>
      </c>
      <c r="BP269" s="49">
        <f t="shared" si="250"/>
        <v>9.3462597762741773</v>
      </c>
      <c r="BQ269" s="82">
        <f t="shared" si="251"/>
        <v>3433.0267325347745</v>
      </c>
      <c r="BS269" s="193">
        <v>3433.0267325347745</v>
      </c>
    </row>
    <row r="270" spans="1:71" x14ac:dyDescent="0.25">
      <c r="A270">
        <v>18</v>
      </c>
      <c r="C270" s="9" t="s">
        <v>62</v>
      </c>
      <c r="D270" s="10" t="s">
        <v>63</v>
      </c>
      <c r="E270" s="11" t="s">
        <v>64</v>
      </c>
      <c r="F270" s="33">
        <v>44552</v>
      </c>
      <c r="G270" s="29">
        <v>0.20416666666666669</v>
      </c>
      <c r="H270" s="28">
        <v>11</v>
      </c>
      <c r="I270" s="28">
        <v>100</v>
      </c>
      <c r="J270" s="28" t="s">
        <v>102</v>
      </c>
      <c r="K270" s="10">
        <v>6</v>
      </c>
      <c r="L270" s="47">
        <f t="shared" si="252"/>
        <v>101252.94186124044</v>
      </c>
      <c r="M270" s="10">
        <f t="shared" si="231"/>
        <v>1.0125294186124043</v>
      </c>
      <c r="N270" s="10" t="s">
        <v>15</v>
      </c>
      <c r="O270" s="10">
        <f>_xll.HumidairTdbRHPsi(H270,I270,M270,N270)</f>
        <v>8.2025265453748598E-3</v>
      </c>
      <c r="P270" s="49">
        <f t="shared" si="253"/>
        <v>8.2025265453748606</v>
      </c>
      <c r="Q270" s="31"/>
      <c r="R270" s="58">
        <v>8.2025265453748606</v>
      </c>
      <c r="S270" s="4"/>
      <c r="T270" s="82">
        <v>18</v>
      </c>
      <c r="U270" s="10" t="s">
        <v>144</v>
      </c>
      <c r="V270" s="78">
        <f>_xll.HumidairTdbRHPsi(H270, I270,M270,U270)</f>
        <v>11</v>
      </c>
      <c r="W270" s="79">
        <v>11</v>
      </c>
      <c r="X270" s="4"/>
      <c r="Y270" s="82">
        <v>18</v>
      </c>
      <c r="Z270" s="10" t="s">
        <v>145</v>
      </c>
      <c r="AA270" s="78">
        <f>_xll.HumidairTdbRHPsi(H270,I270,M270,Z270)</f>
        <v>31.736450310717707</v>
      </c>
      <c r="AB270" s="81">
        <f t="shared" si="241"/>
        <v>68.736450310717714</v>
      </c>
      <c r="AC270" s="80">
        <v>68.736450310717714</v>
      </c>
      <c r="AE270" s="10" t="s">
        <v>146</v>
      </c>
      <c r="AF270" s="78">
        <f>_xll.HumidairTdbRHPsi(H270,I270,M270,AE270)</f>
        <v>11.065380398207038</v>
      </c>
      <c r="AG270" s="81">
        <f t="shared" si="242"/>
        <v>48.06538039820704</v>
      </c>
      <c r="AH270" s="80">
        <v>48.06538039820704</v>
      </c>
      <c r="AJ270" s="10" t="s">
        <v>150</v>
      </c>
      <c r="AK270" s="84">
        <f>_xll.HumidairTdbRHPsi(H270,I270,M270,AJ270)</f>
        <v>0.80521072807188498</v>
      </c>
      <c r="AL270" s="58">
        <v>0.80521072807188498</v>
      </c>
      <c r="AN270" s="49">
        <f t="shared" si="232"/>
        <v>0.52756859957341862</v>
      </c>
      <c r="AO270" s="81">
        <f t="shared" si="243"/>
        <v>15.547791418987519</v>
      </c>
      <c r="AP270" s="81">
        <f t="shared" si="233"/>
        <v>37.979159278646833</v>
      </c>
      <c r="AR270" s="58">
        <v>0.52756859957341862</v>
      </c>
      <c r="AS270" s="155">
        <v>15.547791418987519</v>
      </c>
      <c r="AT270" s="155">
        <v>37.979159278646833</v>
      </c>
      <c r="AU270" s="140"/>
      <c r="AV270" s="49">
        <f t="shared" si="234"/>
        <v>0.10743140042658139</v>
      </c>
      <c r="AW270" s="162">
        <f t="shared" si="235"/>
        <v>1.0743140042658139E-4</v>
      </c>
      <c r="AX270" s="10">
        <f t="shared" si="236"/>
        <v>48</v>
      </c>
      <c r="AY270" s="55">
        <f t="shared" si="237"/>
        <v>4.2955371146564296E-3</v>
      </c>
      <c r="AZ270" s="55">
        <f t="shared" si="238"/>
        <v>2.5223353579896827E-3</v>
      </c>
      <c r="BB270" s="58">
        <v>0.10743140042658139</v>
      </c>
      <c r="BC270" s="167">
        <v>1.0743140042658139E-4</v>
      </c>
      <c r="BD270" s="168">
        <v>48</v>
      </c>
      <c r="BE270" s="170">
        <v>4.2955371146564296E-3</v>
      </c>
      <c r="BF270" s="171">
        <v>2.5223353579896827E-3</v>
      </c>
      <c r="BH270" s="81">
        <f t="shared" si="244"/>
        <v>347.2813773569905</v>
      </c>
      <c r="BI270" s="80">
        <v>347.2813773569905</v>
      </c>
      <c r="BK270" s="81">
        <f t="shared" si="245"/>
        <v>68.736450310717714</v>
      </c>
      <c r="BL270" s="81">
        <f t="shared" si="246"/>
        <v>48.06538039820704</v>
      </c>
      <c r="BM270" s="81">
        <f t="shared" si="247"/>
        <v>20.671069912510674</v>
      </c>
      <c r="BN270" s="192">
        <f t="shared" si="248"/>
        <v>0.30072937748558048</v>
      </c>
      <c r="BO270" s="81">
        <f t="shared" si="249"/>
        <v>48</v>
      </c>
      <c r="BP270" s="49">
        <f t="shared" si="250"/>
        <v>14.435010119307863</v>
      </c>
      <c r="BQ270" s="82">
        <f t="shared" si="251"/>
        <v>5722.8750624233635</v>
      </c>
      <c r="BS270" s="193">
        <v>5722.8750624233635</v>
      </c>
    </row>
    <row r="271" spans="1:71" x14ac:dyDescent="0.25">
      <c r="A271" s="5">
        <v>19</v>
      </c>
      <c r="B271" s="14"/>
      <c r="C271" s="15" t="s">
        <v>65</v>
      </c>
      <c r="D271" s="16" t="s">
        <v>66</v>
      </c>
      <c r="E271" s="4" t="s">
        <v>67</v>
      </c>
      <c r="F271" s="33">
        <v>44551</v>
      </c>
      <c r="G271" s="29">
        <v>0.53611111111111109</v>
      </c>
      <c r="H271" s="28">
        <v>18</v>
      </c>
      <c r="I271" s="28">
        <v>46</v>
      </c>
      <c r="J271" s="28" t="s">
        <v>86</v>
      </c>
      <c r="K271" s="10">
        <v>15</v>
      </c>
      <c r="L271" s="47">
        <f t="shared" si="252"/>
        <v>101144.93246061618</v>
      </c>
      <c r="M271" s="10">
        <f t="shared" si="231"/>
        <v>1.0114493246061618</v>
      </c>
      <c r="N271" s="10" t="s">
        <v>15</v>
      </c>
      <c r="O271" s="10">
        <f>_xll.HumidairTdbRHPsi(H271,I271,M271,N271)</f>
        <v>5.9186371357116147E-3</v>
      </c>
      <c r="P271" s="49">
        <f t="shared" si="253"/>
        <v>5.9186371357116148</v>
      </c>
      <c r="Q271" s="31"/>
      <c r="R271" s="58">
        <v>5.9186371357116148</v>
      </c>
      <c r="S271" s="4"/>
      <c r="T271" s="82">
        <v>19</v>
      </c>
      <c r="U271" s="10" t="s">
        <v>144</v>
      </c>
      <c r="V271" s="78">
        <f>_xll.HumidairTdbRHPsi(H271, I271,M271,U271)</f>
        <v>6.221547654794449</v>
      </c>
      <c r="W271" s="79">
        <v>6.221547654794449</v>
      </c>
      <c r="X271" s="4"/>
      <c r="Y271" s="82">
        <v>19</v>
      </c>
      <c r="Z271" s="10" t="s">
        <v>145</v>
      </c>
      <c r="AA271" s="78">
        <f>_xll.HumidairTdbRHPsi(H271,I271,M271,Z271)</f>
        <v>33.102885826457921</v>
      </c>
      <c r="AB271" s="81">
        <f t="shared" si="241"/>
        <v>70.102885826457921</v>
      </c>
      <c r="AC271" s="80">
        <v>70.102885826457921</v>
      </c>
      <c r="AE271" s="10" t="s">
        <v>146</v>
      </c>
      <c r="AF271" s="78">
        <f>_xll.HumidairTdbRHPsi(H271,I271,M271,AE271)</f>
        <v>18.108515971982897</v>
      </c>
      <c r="AG271" s="81">
        <f t="shared" si="242"/>
        <v>55.108515971982897</v>
      </c>
      <c r="AH271" s="80">
        <v>55.108515971982897</v>
      </c>
      <c r="AJ271" s="10" t="s">
        <v>150</v>
      </c>
      <c r="AK271" s="84">
        <f>_xll.HumidairTdbRHPsi(H271,I271,M271,AJ271)</f>
        <v>0.82598977024595732</v>
      </c>
      <c r="AL271" s="58">
        <v>0.82598977024595732</v>
      </c>
      <c r="AN271" s="49">
        <f t="shared" si="232"/>
        <v>0.5142968006055112</v>
      </c>
      <c r="AO271" s="81">
        <f t="shared" si="243"/>
        <v>11.508213017742406</v>
      </c>
      <c r="AP271" s="81">
        <f t="shared" si="233"/>
        <v>28.111533235496555</v>
      </c>
      <c r="AR271" s="58">
        <v>0.5142968006055112</v>
      </c>
      <c r="AS271" s="155">
        <v>11.508213017742406</v>
      </c>
      <c r="AT271" s="155">
        <v>28.111533235496555</v>
      </c>
      <c r="AU271" s="140"/>
      <c r="AV271" s="49">
        <f t="shared" si="234"/>
        <v>0.12070319939448881</v>
      </c>
      <c r="AW271" s="162">
        <f t="shared" si="235"/>
        <v>1.2070319939448881E-4</v>
      </c>
      <c r="AX271" s="10">
        <f t="shared" si="236"/>
        <v>55</v>
      </c>
      <c r="AY271" s="55">
        <f t="shared" si="237"/>
        <v>5.5300170802585046E-3</v>
      </c>
      <c r="AZ271" s="55">
        <f t="shared" si="238"/>
        <v>3.2472208339744593E-3</v>
      </c>
      <c r="BB271" s="58">
        <v>0.12070319939448881</v>
      </c>
      <c r="BC271" s="167">
        <v>1.2070319939448881E-4</v>
      </c>
      <c r="BD271" s="168">
        <v>55</v>
      </c>
      <c r="BE271" s="170">
        <v>5.5300170802585046E-3</v>
      </c>
      <c r="BF271" s="171">
        <v>3.2472208339744593E-3</v>
      </c>
      <c r="BH271" s="81">
        <f t="shared" si="244"/>
        <v>338.54498055606877</v>
      </c>
      <c r="BI271" s="80">
        <v>338.54498055606877</v>
      </c>
      <c r="BK271" s="81">
        <f t="shared" si="245"/>
        <v>70.102885826457921</v>
      </c>
      <c r="BL271" s="81">
        <f t="shared" si="246"/>
        <v>55.108515971982897</v>
      </c>
      <c r="BM271" s="81">
        <f t="shared" si="247"/>
        <v>14.994369854475025</v>
      </c>
      <c r="BN271" s="192">
        <f t="shared" si="248"/>
        <v>0.21389090731006563</v>
      </c>
      <c r="BO271" s="81">
        <f t="shared" si="249"/>
        <v>55</v>
      </c>
      <c r="BP271" s="49">
        <f t="shared" si="250"/>
        <v>11.763999902053611</v>
      </c>
      <c r="BQ271" s="82">
        <f t="shared" si="251"/>
        <v>3622.790226944614</v>
      </c>
      <c r="BS271" s="193">
        <v>3622.790226944614</v>
      </c>
    </row>
    <row r="272" spans="1:71" x14ac:dyDescent="0.25">
      <c r="A272" s="5">
        <v>20</v>
      </c>
      <c r="B272" s="17" t="s">
        <v>68</v>
      </c>
      <c r="C272" s="9" t="s">
        <v>69</v>
      </c>
      <c r="D272" s="10" t="s">
        <v>70</v>
      </c>
      <c r="E272" s="18" t="s">
        <v>71</v>
      </c>
      <c r="F272" s="33">
        <v>44552</v>
      </c>
      <c r="G272" s="29">
        <v>0.20347222222222219</v>
      </c>
      <c r="H272" s="28">
        <v>-3</v>
      </c>
      <c r="I272" s="28">
        <v>74</v>
      </c>
      <c r="J272" s="28" t="s">
        <v>90</v>
      </c>
      <c r="K272" s="10">
        <v>10</v>
      </c>
      <c r="L272" s="47">
        <f t="shared" si="252"/>
        <v>101204.92615896827</v>
      </c>
      <c r="M272" s="10">
        <f t="shared" si="231"/>
        <v>1.0120492615896828</v>
      </c>
      <c r="N272" s="10" t="s">
        <v>15</v>
      </c>
      <c r="O272" s="55">
        <f>_xll.HumidairTdbRHPsi(H272,I272,M272,N272)</f>
        <v>2.1814152237416172E-3</v>
      </c>
      <c r="P272" s="49">
        <f t="shared" si="253"/>
        <v>2.1814152237416171</v>
      </c>
      <c r="Q272" s="31"/>
      <c r="R272" s="58">
        <v>2.1814152237416171</v>
      </c>
      <c r="S272" s="4"/>
      <c r="T272" s="82">
        <v>20</v>
      </c>
      <c r="U272" s="10" t="s">
        <v>144</v>
      </c>
      <c r="V272" s="78">
        <f>_xll.HumidairTdbRHPsi(H272, I272,M272,U272)</f>
        <v>-6.5292503829426209</v>
      </c>
      <c r="W272" s="79">
        <v>-6.5292503829426209</v>
      </c>
      <c r="X272" s="4"/>
      <c r="Y272" s="82">
        <v>20</v>
      </c>
      <c r="Z272" s="10" t="s">
        <v>145</v>
      </c>
      <c r="AA272" s="78">
        <f>_xll.HumidairTdbRHPsi(H272,I272,M272,Z272)</f>
        <v>2.4242492430666887</v>
      </c>
      <c r="AB272" s="81">
        <f t="shared" si="241"/>
        <v>39.42424924306669</v>
      </c>
      <c r="AC272" s="80">
        <v>39.42424924306669</v>
      </c>
      <c r="AE272" s="10" t="s">
        <v>146</v>
      </c>
      <c r="AF272" s="78">
        <f>_xll.HumidairTdbRHPsi(H272,I272,M272,AE272)</f>
        <v>-3.0170913694613803</v>
      </c>
      <c r="AG272" s="81">
        <f t="shared" si="242"/>
        <v>33.982908630538617</v>
      </c>
      <c r="AH272" s="80">
        <v>33.982908630538617</v>
      </c>
      <c r="AJ272" s="10" t="s">
        <v>150</v>
      </c>
      <c r="AK272" s="84">
        <f>_xll.HumidairTdbRHPsi(H272,I272,M272,AJ272)</f>
        <v>0.7657688367851635</v>
      </c>
      <c r="AL272" s="58">
        <v>0.7657688367851635</v>
      </c>
      <c r="AN272" s="49">
        <f t="shared" si="232"/>
        <v>0.55474168673901769</v>
      </c>
      <c r="AO272" s="81">
        <f t="shared" si="243"/>
        <v>3.9323080920145088</v>
      </c>
      <c r="AP272" s="81">
        <f t="shared" si="233"/>
        <v>9.6055929318002349</v>
      </c>
      <c r="AR272" s="58">
        <v>0.55474168673901769</v>
      </c>
      <c r="AS272" s="155">
        <v>3.9323080920145088</v>
      </c>
      <c r="AT272" s="155">
        <v>9.6055929318002349</v>
      </c>
      <c r="AU272" s="140"/>
      <c r="AV272" s="49">
        <f t="shared" si="234"/>
        <v>8.0258313260982317E-2</v>
      </c>
      <c r="AW272" s="162">
        <f t="shared" si="235"/>
        <v>8.0258313260982316E-5</v>
      </c>
      <c r="AX272" s="10">
        <f t="shared" si="236"/>
        <v>34</v>
      </c>
      <c r="AY272" s="55">
        <f t="shared" si="237"/>
        <v>2.2730759481775411E-3</v>
      </c>
      <c r="AZ272" s="55">
        <f t="shared" si="238"/>
        <v>1.3347480611729543E-3</v>
      </c>
      <c r="BB272" s="58">
        <v>8.0258313260982317E-2</v>
      </c>
      <c r="BC272" s="167">
        <v>8.0258313260982316E-5</v>
      </c>
      <c r="BD272" s="168">
        <v>34</v>
      </c>
      <c r="BE272" s="170">
        <v>2.2730759481775411E-3</v>
      </c>
      <c r="BF272" s="171">
        <v>1.3347480611729543E-3</v>
      </c>
      <c r="BH272" s="81">
        <f t="shared" si="244"/>
        <v>365.16854339670766</v>
      </c>
      <c r="BI272" s="80">
        <v>365.16854339670766</v>
      </c>
      <c r="BK272" s="78">
        <f t="shared" ref="BK272" si="254">+AB272</f>
        <v>39.42424924306669</v>
      </c>
      <c r="BL272" s="81">
        <f t="shared" ref="BL272" si="255">+AG272</f>
        <v>33.982908630538617</v>
      </c>
      <c r="BM272" s="81">
        <f t="shared" ref="BM272" si="256">+BK272-BL272</f>
        <v>5.441340612528073</v>
      </c>
      <c r="BN272" s="192">
        <f t="shared" ref="BN272" si="257">+BM272/BK272</f>
        <v>0.13802014539274984</v>
      </c>
      <c r="BO272" s="81">
        <v>0</v>
      </c>
      <c r="BP272" s="49">
        <f t="shared" ref="BP272" si="258">+BN272*BO272*-1</f>
        <v>0</v>
      </c>
      <c r="BQ272" s="82"/>
      <c r="BS272" s="9"/>
    </row>
    <row r="273" spans="1:71" x14ac:dyDescent="0.25">
      <c r="Y273" t="s">
        <v>164</v>
      </c>
    </row>
    <row r="274" spans="1:71" x14ac:dyDescent="0.25">
      <c r="AN274" s="4" t="s">
        <v>230</v>
      </c>
    </row>
    <row r="275" spans="1:71" x14ac:dyDescent="0.25">
      <c r="AH275" s="197"/>
      <c r="AK275" s="86" t="s">
        <v>161</v>
      </c>
      <c r="AN275" s="4">
        <v>418.01</v>
      </c>
      <c r="AO275" s="139" t="s">
        <v>231</v>
      </c>
      <c r="AX275" s="4" t="s">
        <v>192</v>
      </c>
      <c r="AY275" s="27" t="s">
        <v>271</v>
      </c>
      <c r="AZ275" s="86" t="s">
        <v>161</v>
      </c>
      <c r="BD275" s="70" t="s">
        <v>192</v>
      </c>
      <c r="BE275" s="70" t="s">
        <v>271</v>
      </c>
      <c r="BF275" s="83"/>
      <c r="BH275" s="27" t="s">
        <v>233</v>
      </c>
      <c r="BI275" s="70" t="s">
        <v>233</v>
      </c>
      <c r="BK275" s="86" t="s">
        <v>161</v>
      </c>
      <c r="BQ275" s="4"/>
      <c r="BS275" s="57"/>
    </row>
    <row r="276" spans="1:71" x14ac:dyDescent="0.25">
      <c r="K276" s="2"/>
      <c r="M276" s="30"/>
      <c r="N276" s="25"/>
      <c r="O276" s="25"/>
      <c r="R276" s="66" t="s">
        <v>170</v>
      </c>
      <c r="T276" s="69"/>
      <c r="Y276" t="s">
        <v>166</v>
      </c>
      <c r="AB276" s="4"/>
      <c r="AC276" s="57"/>
      <c r="AG276" s="4"/>
      <c r="AH276" s="57"/>
      <c r="AK276" s="26" t="s">
        <v>192</v>
      </c>
      <c r="AL276" s="70" t="s">
        <v>192</v>
      </c>
      <c r="AN276" s="4">
        <v>1.8326800000000001E-2</v>
      </c>
      <c r="AO276" s="139" t="s">
        <v>176</v>
      </c>
      <c r="AX276" s="4" t="s">
        <v>193</v>
      </c>
      <c r="AY276" s="16" t="s">
        <v>193</v>
      </c>
      <c r="BD276" s="72" t="s">
        <v>193</v>
      </c>
      <c r="BE276" s="72" t="s">
        <v>193</v>
      </c>
      <c r="BF276" s="83"/>
      <c r="BH276" s="16" t="s">
        <v>255</v>
      </c>
      <c r="BI276" s="72" t="s">
        <v>255</v>
      </c>
      <c r="BQ276" s="27" t="s">
        <v>306</v>
      </c>
      <c r="BS276" s="70" t="s">
        <v>306</v>
      </c>
    </row>
    <row r="277" spans="1:71" x14ac:dyDescent="0.25">
      <c r="B277" s="45">
        <v>44582</v>
      </c>
      <c r="C277" s="2"/>
      <c r="G277" s="51"/>
      <c r="I277" s="52"/>
      <c r="P277" s="27" t="s">
        <v>72</v>
      </c>
      <c r="R277" s="203" t="s">
        <v>72</v>
      </c>
      <c r="T277" t="s">
        <v>140</v>
      </c>
      <c r="AA277" s="71" t="s">
        <v>134</v>
      </c>
      <c r="AB277" s="27" t="s">
        <v>300</v>
      </c>
      <c r="AC277" s="70" t="s">
        <v>300</v>
      </c>
      <c r="AF277" s="71" t="s">
        <v>134</v>
      </c>
      <c r="AG277" s="27" t="s">
        <v>314</v>
      </c>
      <c r="AH277" s="70" t="s">
        <v>314</v>
      </c>
      <c r="AK277" s="15" t="s">
        <v>147</v>
      </c>
      <c r="AL277" s="72" t="s">
        <v>147</v>
      </c>
      <c r="AN277" s="4">
        <v>1.8405999999999999E-2</v>
      </c>
      <c r="AO277" t="s">
        <v>232</v>
      </c>
      <c r="AQ277" t="s">
        <v>187</v>
      </c>
      <c r="AS277" s="176" t="s">
        <v>315</v>
      </c>
      <c r="AT277" s="87" t="s">
        <v>317</v>
      </c>
      <c r="AV277" s="163" t="s">
        <v>270</v>
      </c>
      <c r="AX277" s="4">
        <v>0.83299999999999996</v>
      </c>
      <c r="AY277" s="16" t="s">
        <v>272</v>
      </c>
      <c r="AZ277" s="27" t="s">
        <v>274</v>
      </c>
      <c r="BB277" s="70" t="s">
        <v>270</v>
      </c>
      <c r="BD277" s="72">
        <v>0.83299999999999996</v>
      </c>
      <c r="BE277" s="72" t="s">
        <v>272</v>
      </c>
      <c r="BF277" s="70" t="s">
        <v>274</v>
      </c>
      <c r="BH277" s="16" t="s">
        <v>282</v>
      </c>
      <c r="BI277" s="72" t="s">
        <v>282</v>
      </c>
      <c r="BK277" s="27" t="s">
        <v>297</v>
      </c>
      <c r="BL277" s="27" t="s">
        <v>299</v>
      </c>
      <c r="BM277" s="26" t="s">
        <v>301</v>
      </c>
      <c r="BO277" s="163" t="s">
        <v>304</v>
      </c>
      <c r="BQ277" s="16" t="s">
        <v>291</v>
      </c>
      <c r="BS277" s="72" t="s">
        <v>291</v>
      </c>
    </row>
    <row r="278" spans="1:71" x14ac:dyDescent="0.25">
      <c r="G278" s="4" t="s">
        <v>0</v>
      </c>
      <c r="K278" s="4" t="s">
        <v>1</v>
      </c>
      <c r="L278" s="4" t="s">
        <v>2</v>
      </c>
      <c r="O278" s="4" t="s">
        <v>72</v>
      </c>
      <c r="P278" s="16" t="s">
        <v>81</v>
      </c>
      <c r="Q278" s="4"/>
      <c r="R278" s="72" t="s">
        <v>81</v>
      </c>
      <c r="V278" s="26" t="s">
        <v>310</v>
      </c>
      <c r="W278" s="87" t="s">
        <v>310</v>
      </c>
      <c r="AA278" s="73" t="s">
        <v>141</v>
      </c>
      <c r="AB278" s="16" t="s">
        <v>141</v>
      </c>
      <c r="AC278" s="72" t="s">
        <v>141</v>
      </c>
      <c r="AF278" s="42" t="s">
        <v>141</v>
      </c>
      <c r="AG278" s="16" t="s">
        <v>141</v>
      </c>
      <c r="AH278" s="72" t="s">
        <v>141</v>
      </c>
      <c r="AK278" s="15" t="s">
        <v>148</v>
      </c>
      <c r="AL278" s="72" t="s">
        <v>148</v>
      </c>
      <c r="AN278" s="27" t="s">
        <v>235</v>
      </c>
      <c r="AO278" s="27" t="s">
        <v>233</v>
      </c>
      <c r="AP278" s="27" t="s">
        <v>233</v>
      </c>
      <c r="AR278" s="176" t="s">
        <v>320</v>
      </c>
      <c r="AS278" s="199" t="s">
        <v>316</v>
      </c>
      <c r="AT278" s="72" t="s">
        <v>318</v>
      </c>
      <c r="AV278" s="73" t="s">
        <v>275</v>
      </c>
      <c r="AW278" s="163" t="s">
        <v>270</v>
      </c>
      <c r="AY278" s="16" t="s">
        <v>251</v>
      </c>
      <c r="AZ278" s="16">
        <v>1.7030000000000001</v>
      </c>
      <c r="BB278" s="72" t="s">
        <v>275</v>
      </c>
      <c r="BC278" s="176" t="s">
        <v>270</v>
      </c>
      <c r="BD278" s="74"/>
      <c r="BE278" s="72" t="s">
        <v>251</v>
      </c>
      <c r="BF278" s="72">
        <v>1.7030000000000001</v>
      </c>
      <c r="BH278" s="173" t="s">
        <v>187</v>
      </c>
      <c r="BI278" s="72" t="s">
        <v>187</v>
      </c>
      <c r="BK278" s="16" t="s">
        <v>298</v>
      </c>
      <c r="BL278" s="16" t="s">
        <v>298</v>
      </c>
      <c r="BM278" s="16" t="s">
        <v>300</v>
      </c>
      <c r="BO278" s="16" t="s">
        <v>303</v>
      </c>
      <c r="BP278" s="161" t="s">
        <v>296</v>
      </c>
      <c r="BQ278" s="16" t="s">
        <v>292</v>
      </c>
      <c r="BS278" s="72" t="s">
        <v>292</v>
      </c>
    </row>
    <row r="279" spans="1:71" ht="17.25" x14ac:dyDescent="0.25">
      <c r="A279" s="5"/>
      <c r="B279" s="5"/>
      <c r="C279" t="s">
        <v>3</v>
      </c>
      <c r="D279" t="s">
        <v>4</v>
      </c>
      <c r="E279" t="s">
        <v>5</v>
      </c>
      <c r="F279" s="4" t="s">
        <v>6</v>
      </c>
      <c r="G279" s="6" t="s">
        <v>7</v>
      </c>
      <c r="H279" s="4" t="s">
        <v>98</v>
      </c>
      <c r="I279" s="4" t="s">
        <v>99</v>
      </c>
      <c r="J279" s="4" t="s">
        <v>74</v>
      </c>
      <c r="K279" s="7" t="s">
        <v>163</v>
      </c>
      <c r="L279" s="7" t="s">
        <v>8</v>
      </c>
      <c r="M279" s="4" t="s">
        <v>9</v>
      </c>
      <c r="N279" s="4" t="s">
        <v>10</v>
      </c>
      <c r="O279" s="4" t="s">
        <v>11</v>
      </c>
      <c r="P279" s="13" t="s">
        <v>82</v>
      </c>
      <c r="Q279" s="4"/>
      <c r="R279" s="77" t="s">
        <v>82</v>
      </c>
      <c r="S279" s="4"/>
      <c r="T279" s="10" t="s">
        <v>142</v>
      </c>
      <c r="U279" s="18" t="s">
        <v>10</v>
      </c>
      <c r="V279" s="13" t="s">
        <v>273</v>
      </c>
      <c r="W279" s="77" t="s">
        <v>311</v>
      </c>
      <c r="X279" s="4"/>
      <c r="Y279" s="10" t="s">
        <v>142</v>
      </c>
      <c r="Z279" s="18" t="s">
        <v>10</v>
      </c>
      <c r="AA279" s="76" t="s">
        <v>143</v>
      </c>
      <c r="AB279" s="13" t="s">
        <v>312</v>
      </c>
      <c r="AC279" s="72" t="s">
        <v>312</v>
      </c>
      <c r="AE279" s="9" t="s">
        <v>10</v>
      </c>
      <c r="AF279" s="76" t="s">
        <v>82</v>
      </c>
      <c r="AG279" s="13" t="s">
        <v>313</v>
      </c>
      <c r="AH279" s="77" t="s">
        <v>313</v>
      </c>
      <c r="AJ279" s="32" t="s">
        <v>10</v>
      </c>
      <c r="AK279" s="12" t="s">
        <v>149</v>
      </c>
      <c r="AL279" s="77" t="s">
        <v>149</v>
      </c>
      <c r="AN279" s="13" t="s">
        <v>230</v>
      </c>
      <c r="AO279" s="13" t="s">
        <v>177</v>
      </c>
      <c r="AP279" s="13" t="s">
        <v>234</v>
      </c>
      <c r="AR279" s="177" t="s">
        <v>321</v>
      </c>
      <c r="AS279" s="177" t="s">
        <v>232</v>
      </c>
      <c r="AT279" s="77" t="s">
        <v>319</v>
      </c>
      <c r="AV279" s="166" t="s">
        <v>149</v>
      </c>
      <c r="AW279" s="13" t="s">
        <v>276</v>
      </c>
      <c r="AX279" s="164" t="s">
        <v>186</v>
      </c>
      <c r="AY279" s="13" t="s">
        <v>82</v>
      </c>
      <c r="AZ279" s="13" t="s">
        <v>273</v>
      </c>
      <c r="BB279" s="77" t="s">
        <v>149</v>
      </c>
      <c r="BC279" s="177" t="s">
        <v>276</v>
      </c>
      <c r="BD279" s="77" t="s">
        <v>186</v>
      </c>
      <c r="BE279" s="77" t="s">
        <v>82</v>
      </c>
      <c r="BF279" s="77" t="s">
        <v>277</v>
      </c>
      <c r="BH279" s="13">
        <v>418</v>
      </c>
      <c r="BI279" s="77">
        <v>418</v>
      </c>
      <c r="BK279" s="13" t="s">
        <v>250</v>
      </c>
      <c r="BL279" s="13" t="s">
        <v>250</v>
      </c>
      <c r="BM279" s="13" t="s">
        <v>295</v>
      </c>
      <c r="BN279" s="18" t="s">
        <v>302</v>
      </c>
      <c r="BO279" s="13" t="s">
        <v>189</v>
      </c>
      <c r="BP279" s="76" t="s">
        <v>277</v>
      </c>
      <c r="BQ279" s="13" t="s">
        <v>305</v>
      </c>
      <c r="BS279" s="77" t="s">
        <v>305</v>
      </c>
    </row>
    <row r="280" spans="1:71" x14ac:dyDescent="0.25">
      <c r="A280">
        <v>1</v>
      </c>
      <c r="C280" s="9" t="s">
        <v>12</v>
      </c>
      <c r="D280" s="10" t="s">
        <v>13</v>
      </c>
      <c r="E280" s="32" t="s">
        <v>14</v>
      </c>
      <c r="F280" s="33">
        <v>44217</v>
      </c>
      <c r="G280" s="29">
        <v>1.5277777777777777E-2</v>
      </c>
      <c r="H280" s="46">
        <v>-27</v>
      </c>
      <c r="I280" s="28">
        <v>98</v>
      </c>
      <c r="J280" s="28" t="s">
        <v>85</v>
      </c>
      <c r="K280" s="10">
        <v>32</v>
      </c>
      <c r="L280" s="47">
        <f>+((101325*(1-(2.25577*10^-5)*(K280))^5.25588))</f>
        <v>100941.16925190832</v>
      </c>
      <c r="M280" s="10">
        <f t="shared" ref="M280:M299" si="259">+L280/100000</f>
        <v>1.0094116925190832</v>
      </c>
      <c r="N280" s="10" t="s">
        <v>15</v>
      </c>
      <c r="O280" s="10">
        <f>_xll.HumidairTdbRHPsi(H280,I280,M280,N280)</f>
        <v>3.140569975412936E-4</v>
      </c>
      <c r="P280" s="49">
        <f>+O280*1000</f>
        <v>0.31405699754129363</v>
      </c>
      <c r="Q280" s="31"/>
      <c r="R280" s="58">
        <v>0.31405699754129363</v>
      </c>
      <c r="S280" s="4"/>
      <c r="T280" s="10">
        <v>1</v>
      </c>
      <c r="U280" s="10" t="s">
        <v>144</v>
      </c>
      <c r="V280" s="78">
        <f>_xll.HumidairTdbRHPsi(H280, I280,M280,U280)</f>
        <v>-27.198916807824702</v>
      </c>
      <c r="W280" s="79">
        <v>-27.198916807824702</v>
      </c>
      <c r="X280" s="4"/>
      <c r="Y280" s="10">
        <v>1</v>
      </c>
      <c r="Z280" s="10" t="s">
        <v>145</v>
      </c>
      <c r="AA280" s="78">
        <f>_xll.HumidairTdbRHPsi(H280,I280,M280,Z280)</f>
        <v>-26.383902863642152</v>
      </c>
      <c r="AB280" s="78">
        <f>+AA280+37</f>
        <v>10.616097136357848</v>
      </c>
      <c r="AC280" s="79">
        <v>10.616097136357848</v>
      </c>
      <c r="AE280" s="10" t="s">
        <v>146</v>
      </c>
      <c r="AF280" s="78">
        <f>_xll.HumidairTdbRHPsi(H280,I280,M280,AE280)</f>
        <v>-27.153304524322618</v>
      </c>
      <c r="AG280" s="78">
        <f>+AF280+37</f>
        <v>9.8466954756773823</v>
      </c>
      <c r="AH280" s="80">
        <v>9.8466954756773823</v>
      </c>
      <c r="AJ280" s="10" t="s">
        <v>150</v>
      </c>
      <c r="AK280" s="84">
        <f>_xll.HumidairTdbRHPsi(H280,I280,M280,AJ280)</f>
        <v>0.69928557599675389</v>
      </c>
      <c r="AL280" s="58">
        <v>0.69928557599675389</v>
      </c>
      <c r="AN280" s="49">
        <f t="shared" ref="AN280:AN299" si="260">+$AN$6*($AL$57/AL280)</f>
        <v>0.60748270914192148</v>
      </c>
      <c r="AO280" s="81">
        <f>+R280/AN280</f>
        <v>0.51698096557333106</v>
      </c>
      <c r="AP280" s="81">
        <f t="shared" ref="AP280:AP299" si="261">+AO280*(44.0059/18.015)</f>
        <v>1.2628483304426004</v>
      </c>
      <c r="AR280" s="58">
        <v>0.60748270914192148</v>
      </c>
      <c r="AS280" s="155">
        <v>0.51698096557333106</v>
      </c>
      <c r="AT280" s="155">
        <v>1.2628483304426004</v>
      </c>
      <c r="AU280" s="140"/>
      <c r="AV280" s="84">
        <f t="shared" ref="AV280:AV299" si="262">+$AN$57-AN280</f>
        <v>2.7517290858078525E-2</v>
      </c>
      <c r="AW280" s="165">
        <f t="shared" ref="AW280:AW299" si="263">+AV280/1000</f>
        <v>2.7517290858078525E-5</v>
      </c>
      <c r="AX280" s="10">
        <f t="shared" ref="AX280:AX299" si="264">37+H280</f>
        <v>10</v>
      </c>
      <c r="AY280" s="55">
        <f t="shared" ref="AY280:AY299" si="265">+AW280*AX280*$AX$9</f>
        <v>2.2921903284779413E-4</v>
      </c>
      <c r="AZ280" s="55">
        <f t="shared" ref="AZ280:AZ299" si="266">+AY280/1.703</f>
        <v>1.3459720073270354E-4</v>
      </c>
      <c r="BB280" s="58">
        <v>2.7517290858078525E-2</v>
      </c>
      <c r="BC280" s="167">
        <v>2.7517290858078525E-5</v>
      </c>
      <c r="BD280" s="168">
        <v>10</v>
      </c>
      <c r="BE280" s="168">
        <v>2.2921903284779413E-4</v>
      </c>
      <c r="BF280" s="169">
        <v>1.3459720073270354E-4</v>
      </c>
      <c r="BH280" s="81">
        <f>418*($AL$57/AL280)</f>
        <v>399.88625578161134</v>
      </c>
      <c r="BI280" s="80">
        <v>399.88625578161134</v>
      </c>
      <c r="BK280" s="81">
        <f>+AB280</f>
        <v>10.616097136357848</v>
      </c>
      <c r="BL280" s="81">
        <f>+AG280</f>
        <v>9.8466954756773823</v>
      </c>
      <c r="BM280" s="81">
        <f>+BK280-BL280</f>
        <v>0.76940166068046523</v>
      </c>
      <c r="BN280" s="192">
        <f>+BM280/BK280</f>
        <v>7.2475001952029064E-2</v>
      </c>
      <c r="BO280" s="81">
        <f>+H280-$H$57</f>
        <v>10</v>
      </c>
      <c r="BP280" s="49">
        <f>+BN280*BO280</f>
        <v>0.72475001952029061</v>
      </c>
      <c r="BQ280" s="82">
        <f>+BP280/AZ280</f>
        <v>5384.5846390191355</v>
      </c>
      <c r="BS280" s="193">
        <v>5384.5846390191355</v>
      </c>
    </row>
    <row r="281" spans="1:71" x14ac:dyDescent="0.25">
      <c r="A281">
        <v>2</v>
      </c>
      <c r="B281" s="1" t="s">
        <v>16</v>
      </c>
      <c r="C281" s="12" t="s">
        <v>17</v>
      </c>
      <c r="D281" s="13" t="s">
        <v>18</v>
      </c>
      <c r="E281" s="11" t="s">
        <v>19</v>
      </c>
      <c r="F281" s="33">
        <v>44217</v>
      </c>
      <c r="G281" s="29">
        <v>0.59791666666666665</v>
      </c>
      <c r="H281" s="28">
        <v>-24</v>
      </c>
      <c r="I281" s="28">
        <v>65</v>
      </c>
      <c r="J281" s="28" t="s">
        <v>85</v>
      </c>
      <c r="K281" s="10">
        <v>41</v>
      </c>
      <c r="L281" s="47">
        <f t="shared" ref="L281:L289" si="267">+((101325*(1-(2.25577*10^-5)*(K281))^5.25588))</f>
        <v>100833.42925724134</v>
      </c>
      <c r="M281" s="10">
        <f t="shared" si="259"/>
        <v>1.0083342925724135</v>
      </c>
      <c r="N281" s="10" t="s">
        <v>15</v>
      </c>
      <c r="O281" s="10">
        <f>_xll.HumidairTdbRHPsi(H281,I281,M281,N281)</f>
        <v>2.8168261454333896E-4</v>
      </c>
      <c r="P281" s="49">
        <f t="shared" ref="P281:P289" si="268">+O281*1000</f>
        <v>0.28168261454333898</v>
      </c>
      <c r="Q281" s="31"/>
      <c r="R281" s="58">
        <v>0.28168261454333898</v>
      </c>
      <c r="S281" s="4"/>
      <c r="T281" s="10">
        <v>2</v>
      </c>
      <c r="U281" s="10" t="s">
        <v>144</v>
      </c>
      <c r="V281" s="78">
        <f>_xll.HumidairTdbRHPsi(H281, I281,M281,U281)</f>
        <v>-28.274457266603179</v>
      </c>
      <c r="W281" s="79">
        <v>-28.274457266603179</v>
      </c>
      <c r="X281" s="4"/>
      <c r="Y281" s="10">
        <v>2</v>
      </c>
      <c r="Z281" s="10" t="s">
        <v>145</v>
      </c>
      <c r="AA281" s="78">
        <f>_xll.HumidairTdbRHPsi(H281,I281,M281,Z281)</f>
        <v>-23.444193425613701</v>
      </c>
      <c r="AB281" s="81">
        <f t="shared" ref="AB281:AB299" si="269">+AA281+37</f>
        <v>13.555806574386299</v>
      </c>
      <c r="AC281" s="80">
        <v>13.555806574386299</v>
      </c>
      <c r="AE281" s="10" t="s">
        <v>146</v>
      </c>
      <c r="AF281" s="78">
        <f>_xll.HumidairTdbRHPsi(H281,I281,M281,AE281)</f>
        <v>-24.135859383289734</v>
      </c>
      <c r="AG281" s="81">
        <f t="shared" ref="AG281:AG299" si="270">+AF281+37</f>
        <v>12.864140616710266</v>
      </c>
      <c r="AH281" s="80">
        <v>12.864140616710266</v>
      </c>
      <c r="AJ281" s="10" t="s">
        <v>150</v>
      </c>
      <c r="AK281" s="84">
        <f>_xll.HumidairTdbRHPsi(H281,I281,M281,AJ281)</f>
        <v>0.70860636009045153</v>
      </c>
      <c r="AL281" s="58">
        <v>0.70860636009045153</v>
      </c>
      <c r="AN281" s="49">
        <f t="shared" si="260"/>
        <v>0.5994920735909739</v>
      </c>
      <c r="AO281" s="81">
        <f t="shared" ref="AO281:AO299" si="271">+R281/AN281</f>
        <v>0.46986878884995498</v>
      </c>
      <c r="AP281" s="81">
        <f t="shared" si="261"/>
        <v>1.1477656916598518</v>
      </c>
      <c r="AR281" s="58">
        <v>0.5994920735909739</v>
      </c>
      <c r="AS281" s="155">
        <v>0.46986878884995498</v>
      </c>
      <c r="AT281" s="155">
        <v>1.1477656916598518</v>
      </c>
      <c r="AU281" s="140"/>
      <c r="AV281" s="49">
        <f t="shared" si="262"/>
        <v>3.5507926409026114E-2</v>
      </c>
      <c r="AW281" s="162">
        <f t="shared" si="263"/>
        <v>3.5507926409026115E-5</v>
      </c>
      <c r="AX281" s="10">
        <f t="shared" si="264"/>
        <v>13</v>
      </c>
      <c r="AY281" s="55">
        <f t="shared" si="265"/>
        <v>3.8451533508334382E-4</v>
      </c>
      <c r="AZ281" s="55">
        <f t="shared" si="266"/>
        <v>2.2578704350166988E-4</v>
      </c>
      <c r="BB281" s="58">
        <v>3.5507926409026114E-2</v>
      </c>
      <c r="BC281" s="167">
        <v>3.5507926409026115E-5</v>
      </c>
      <c r="BD281" s="168">
        <v>13</v>
      </c>
      <c r="BE281" s="170">
        <v>3.8451533508334382E-4</v>
      </c>
      <c r="BF281" s="169">
        <v>2.2578704350166988E-4</v>
      </c>
      <c r="BH281" s="81">
        <f t="shared" ref="BH281:BH299" si="272">418*($AL$57/AL281)</f>
        <v>394.62627836382222</v>
      </c>
      <c r="BI281" s="80">
        <v>394.62627836382222</v>
      </c>
      <c r="BK281" s="81">
        <f t="shared" ref="BK281:BK298" si="273">+AB281</f>
        <v>13.555806574386299</v>
      </c>
      <c r="BL281" s="81">
        <f t="shared" ref="BL281:BL298" si="274">+AG281</f>
        <v>12.864140616710266</v>
      </c>
      <c r="BM281" s="81">
        <f t="shared" ref="BM281:BM298" si="275">+BK281-BL281</f>
        <v>0.69166595767603312</v>
      </c>
      <c r="BN281" s="192">
        <f t="shared" ref="BN281:BN298" si="276">+BM281/BK281</f>
        <v>5.1023593017543951E-2</v>
      </c>
      <c r="BO281" s="81">
        <f t="shared" ref="BO281:BO298" si="277">+H281-$H$57</f>
        <v>13</v>
      </c>
      <c r="BP281" s="49">
        <f t="shared" ref="BP281:BP298" si="278">+BN281*BO281</f>
        <v>0.66330670922807133</v>
      </c>
      <c r="BQ281" s="82">
        <f t="shared" ref="BQ281:BQ298" si="279">+BP281/AZ281</f>
        <v>2937.7536414004448</v>
      </c>
      <c r="BS281" s="193">
        <v>2937.7536414004448</v>
      </c>
    </row>
    <row r="282" spans="1:71" x14ac:dyDescent="0.25">
      <c r="A282">
        <v>3</v>
      </c>
      <c r="C282" s="12" t="s">
        <v>20</v>
      </c>
      <c r="D282" s="10" t="s">
        <v>21</v>
      </c>
      <c r="E282" s="11" t="s">
        <v>22</v>
      </c>
      <c r="F282" s="33">
        <v>44217</v>
      </c>
      <c r="G282" s="29">
        <v>0.26666666666666666</v>
      </c>
      <c r="H282" s="28">
        <v>-4</v>
      </c>
      <c r="I282" s="28">
        <v>73</v>
      </c>
      <c r="J282" s="28" t="s">
        <v>102</v>
      </c>
      <c r="K282" s="10">
        <v>15</v>
      </c>
      <c r="L282" s="47">
        <f t="shared" si="267"/>
        <v>101144.93246061618</v>
      </c>
      <c r="M282" s="10">
        <f t="shared" si="259"/>
        <v>1.0114493246061618</v>
      </c>
      <c r="N282" s="10" t="s">
        <v>15</v>
      </c>
      <c r="O282" s="10">
        <f>_xll.HumidairTdbRHPsi(H282,I282,M282,N282)</f>
        <v>1.9780722072841807E-3</v>
      </c>
      <c r="P282" s="49">
        <f t="shared" si="268"/>
        <v>1.9780722072841808</v>
      </c>
      <c r="Q282" s="31"/>
      <c r="R282" s="58">
        <v>1.9780722072841808</v>
      </c>
      <c r="S282" s="4"/>
      <c r="T282" s="10">
        <v>3</v>
      </c>
      <c r="U282" s="10" t="s">
        <v>144</v>
      </c>
      <c r="V282" s="78">
        <f>_xll.HumidairTdbRHPsi(H282, I282,M282,U282)</f>
        <v>-7.6593188543071165</v>
      </c>
      <c r="W282" s="79">
        <v>-7.6593188543071165</v>
      </c>
      <c r="X282" s="4"/>
      <c r="Y282" s="10">
        <v>3</v>
      </c>
      <c r="Z282" s="10" t="s">
        <v>145</v>
      </c>
      <c r="AA282" s="78">
        <f>_xll.HumidairTdbRHPsi(H282,I282,M282,Z282)</f>
        <v>0.90776741076312573</v>
      </c>
      <c r="AB282" s="81">
        <f t="shared" si="269"/>
        <v>37.907767410763128</v>
      </c>
      <c r="AC282" s="80">
        <v>37.907767410763128</v>
      </c>
      <c r="AE282" s="10" t="s">
        <v>146</v>
      </c>
      <c r="AF282" s="78">
        <f>_xll.HumidairTdbRHPsi(H282,I282,M282,AE282)</f>
        <v>-4.022702131439158</v>
      </c>
      <c r="AG282" s="81">
        <f t="shared" si="270"/>
        <v>32.977297868560839</v>
      </c>
      <c r="AH282" s="80">
        <v>32.977297868560839</v>
      </c>
      <c r="AJ282" s="10" t="s">
        <v>150</v>
      </c>
      <c r="AK282" s="84">
        <f>_xll.HumidairTdbRHPsi(H282,I282,M282,AJ282)</f>
        <v>0.76337651170447707</v>
      </c>
      <c r="AL282" s="58">
        <v>0.76337651170447707</v>
      </c>
      <c r="AN282" s="49">
        <f t="shared" si="260"/>
        <v>0.55648017676345507</v>
      </c>
      <c r="AO282" s="81">
        <f t="shared" si="271"/>
        <v>3.5546139644880945</v>
      </c>
      <c r="AP282" s="81">
        <f t="shared" si="261"/>
        <v>8.6829856597206003</v>
      </c>
      <c r="AR282" s="58">
        <v>0.55648017676345507</v>
      </c>
      <c r="AS282" s="155">
        <v>3.5546139644880945</v>
      </c>
      <c r="AT282" s="155">
        <v>8.6829856597206003</v>
      </c>
      <c r="AU282" s="140"/>
      <c r="AV282" s="49">
        <f t="shared" si="262"/>
        <v>7.8519823236544939E-2</v>
      </c>
      <c r="AW282" s="162">
        <f t="shared" si="263"/>
        <v>7.8519823236544945E-5</v>
      </c>
      <c r="AX282" s="10">
        <f t="shared" si="264"/>
        <v>33</v>
      </c>
      <c r="AY282" s="55">
        <f t="shared" si="265"/>
        <v>2.158431420949384E-3</v>
      </c>
      <c r="AZ282" s="55">
        <f t="shared" si="266"/>
        <v>1.2674289024952343E-3</v>
      </c>
      <c r="BB282" s="58">
        <v>7.8519823236544939E-2</v>
      </c>
      <c r="BC282" s="167">
        <v>7.8519823236544945E-5</v>
      </c>
      <c r="BD282" s="168">
        <v>33</v>
      </c>
      <c r="BE282" s="170">
        <v>2.158431420949384E-3</v>
      </c>
      <c r="BF282" s="171">
        <v>1.2674289024952343E-3</v>
      </c>
      <c r="BH282" s="81">
        <f t="shared" si="272"/>
        <v>366.31293525531373</v>
      </c>
      <c r="BI282" s="80">
        <v>366.31293525531373</v>
      </c>
      <c r="BK282" s="81">
        <f t="shared" si="273"/>
        <v>37.907767410763128</v>
      </c>
      <c r="BL282" s="81">
        <f t="shared" si="274"/>
        <v>32.977297868560839</v>
      </c>
      <c r="BM282" s="81">
        <f t="shared" si="275"/>
        <v>4.9304695422022888</v>
      </c>
      <c r="BN282" s="192">
        <f t="shared" si="276"/>
        <v>0.13006488851681577</v>
      </c>
      <c r="BO282" s="81">
        <f t="shared" si="277"/>
        <v>33</v>
      </c>
      <c r="BP282" s="49">
        <f t="shared" si="278"/>
        <v>4.2921413210549204</v>
      </c>
      <c r="BQ282" s="82">
        <f t="shared" si="279"/>
        <v>3386.4947474409196</v>
      </c>
      <c r="BS282" s="193">
        <v>3386.4947474409196</v>
      </c>
    </row>
    <row r="283" spans="1:71" x14ac:dyDescent="0.25">
      <c r="A283" s="5">
        <v>4</v>
      </c>
      <c r="B283" s="14"/>
      <c r="C283" s="12" t="s">
        <v>23</v>
      </c>
      <c r="D283" s="10" t="s">
        <v>24</v>
      </c>
      <c r="E283" s="11" t="s">
        <v>25</v>
      </c>
      <c r="F283" s="33">
        <v>44217</v>
      </c>
      <c r="G283" s="29">
        <v>0.93125000000000002</v>
      </c>
      <c r="H283" s="28">
        <v>-32</v>
      </c>
      <c r="I283" s="28">
        <v>77</v>
      </c>
      <c r="J283" s="28" t="s">
        <v>87</v>
      </c>
      <c r="K283" s="10">
        <v>26</v>
      </c>
      <c r="L283" s="47">
        <f t="shared" si="267"/>
        <v>101013.04768769341</v>
      </c>
      <c r="M283" s="10">
        <f t="shared" si="259"/>
        <v>1.0101304768769341</v>
      </c>
      <c r="N283" s="10" t="s">
        <v>15</v>
      </c>
      <c r="O283" s="10">
        <f>_xll.HumidairTdbRHPsi(H283,I283,M283,N283)</f>
        <v>1.4686374774596577E-4</v>
      </c>
      <c r="P283" s="49">
        <f t="shared" si="268"/>
        <v>0.14686374774596578</v>
      </c>
      <c r="Q283" s="31"/>
      <c r="R283" s="58">
        <v>0.14686374774596578</v>
      </c>
      <c r="S283" s="4"/>
      <c r="T283" s="10">
        <v>4</v>
      </c>
      <c r="U283" s="10" t="s">
        <v>144</v>
      </c>
      <c r="V283" s="78">
        <f>_xll.HumidairTdbRHPsi(H283, I283,M283,U283)</f>
        <v>-34.446866984823117</v>
      </c>
      <c r="W283" s="79">
        <v>-34.446866984823117</v>
      </c>
      <c r="X283" s="4"/>
      <c r="Y283" s="10">
        <v>4</v>
      </c>
      <c r="Z283" s="10" t="s">
        <v>145</v>
      </c>
      <c r="AA283" s="78">
        <f>_xll.HumidairTdbRHPsi(H283,I283,M283,Z283)</f>
        <v>-31.82372442753859</v>
      </c>
      <c r="AB283" s="81">
        <f t="shared" si="269"/>
        <v>5.1762755724614102</v>
      </c>
      <c r="AC283" s="80">
        <v>5.1762755724614102</v>
      </c>
      <c r="AE283" s="10" t="s">
        <v>146</v>
      </c>
      <c r="AF283" s="78">
        <f>_xll.HumidairTdbRHPsi(H283,I283,M283,AE283)</f>
        <v>-32.182159643824029</v>
      </c>
      <c r="AG283" s="81">
        <f t="shared" si="270"/>
        <v>4.8178403561759708</v>
      </c>
      <c r="AH283" s="80">
        <v>4.8178403561759708</v>
      </c>
      <c r="AJ283" s="10" t="s">
        <v>150</v>
      </c>
      <c r="AK283" s="84">
        <f>_xll.HumidairTdbRHPsi(H283,I283,M283,AJ283)</f>
        <v>0.68452260006822485</v>
      </c>
      <c r="AL283" s="58">
        <v>0.68452260006822485</v>
      </c>
      <c r="AN283" s="49">
        <f t="shared" si="260"/>
        <v>0.62058417958448397</v>
      </c>
      <c r="AO283" s="81">
        <f t="shared" si="271"/>
        <v>0.23665403111677666</v>
      </c>
      <c r="AP283" s="81">
        <f t="shared" si="261"/>
        <v>0.57808346533010047</v>
      </c>
      <c r="AR283" s="58">
        <v>0.62058417958448397</v>
      </c>
      <c r="AS283" s="155">
        <v>0.23665403111677666</v>
      </c>
      <c r="AT283" s="155">
        <v>0.57808346533010047</v>
      </c>
      <c r="AU283" s="140"/>
      <c r="AV283" s="49">
        <f t="shared" si="262"/>
        <v>1.4415820415516034E-2</v>
      </c>
      <c r="AW283" s="162">
        <f t="shared" si="263"/>
        <v>1.4415820415516034E-5</v>
      </c>
      <c r="AX283" s="10">
        <f t="shared" si="264"/>
        <v>5</v>
      </c>
      <c r="AY283" s="55">
        <f t="shared" si="265"/>
        <v>6.0041892030624276E-5</v>
      </c>
      <c r="AZ283" s="55">
        <f t="shared" si="266"/>
        <v>3.5256542589914428E-5</v>
      </c>
      <c r="BB283" s="58">
        <v>1.4415820415516034E-2</v>
      </c>
      <c r="BC283" s="167">
        <v>1.4415820415516034E-5</v>
      </c>
      <c r="BD283" s="168">
        <v>5</v>
      </c>
      <c r="BE283" s="170">
        <v>6.0041892030624276E-5</v>
      </c>
      <c r="BF283" s="171">
        <v>3.5256542589914428E-5</v>
      </c>
      <c r="BH283" s="81">
        <f t="shared" si="272"/>
        <v>408.51053081309334</v>
      </c>
      <c r="BI283" s="80">
        <v>408.51053081309334</v>
      </c>
      <c r="BK283" s="81">
        <f t="shared" si="273"/>
        <v>5.1762755724614102</v>
      </c>
      <c r="BL283" s="81">
        <f t="shared" si="274"/>
        <v>4.8178403561759708</v>
      </c>
      <c r="BM283" s="81">
        <f t="shared" si="275"/>
        <v>0.3584352162854394</v>
      </c>
      <c r="BN283" s="192">
        <f t="shared" si="276"/>
        <v>6.9245775513260999E-2</v>
      </c>
      <c r="BO283" s="81">
        <f t="shared" si="277"/>
        <v>5</v>
      </c>
      <c r="BP283" s="49">
        <f t="shared" si="278"/>
        <v>0.34622887756630499</v>
      </c>
      <c r="BQ283" s="82">
        <f t="shared" si="279"/>
        <v>9820.2731218842782</v>
      </c>
      <c r="BS283" s="193">
        <v>9820.2731218842782</v>
      </c>
    </row>
    <row r="284" spans="1:71" x14ac:dyDescent="0.25">
      <c r="A284">
        <v>5</v>
      </c>
      <c r="C284" s="9" t="s">
        <v>26</v>
      </c>
      <c r="D284" s="10" t="s">
        <v>27</v>
      </c>
      <c r="E284" s="11" t="s">
        <v>28</v>
      </c>
      <c r="F284" s="33">
        <v>44217</v>
      </c>
      <c r="G284" s="29">
        <v>0.55763888888888891</v>
      </c>
      <c r="H284" s="28">
        <v>-7</v>
      </c>
      <c r="I284" s="28">
        <v>41</v>
      </c>
      <c r="J284" s="28" t="s">
        <v>85</v>
      </c>
      <c r="K284" s="10">
        <v>356</v>
      </c>
      <c r="L284" s="47">
        <f t="shared" si="267"/>
        <v>97120.766933102874</v>
      </c>
      <c r="M284" s="10">
        <f t="shared" si="259"/>
        <v>0.97120766933102876</v>
      </c>
      <c r="N284" s="10" t="s">
        <v>15</v>
      </c>
      <c r="O284" s="10">
        <f>_xll.HumidairTdbRHPsi(H284,I284,M284,N284)</f>
        <v>8.9277474100234384E-4</v>
      </c>
      <c r="P284" s="49">
        <f t="shared" si="268"/>
        <v>0.89277474100234389</v>
      </c>
      <c r="Q284" s="31"/>
      <c r="R284" s="58">
        <v>0.89277474100234389</v>
      </c>
      <c r="S284" s="4"/>
      <c r="T284" s="10">
        <v>5</v>
      </c>
      <c r="U284" s="10" t="s">
        <v>144</v>
      </c>
      <c r="V284" s="78">
        <f>_xll.HumidairTdbRHPsi(H284, I284,M284,U284)</f>
        <v>-16.892593379946561</v>
      </c>
      <c r="W284" s="79">
        <v>-16.892593379946561</v>
      </c>
      <c r="X284" s="4"/>
      <c r="Y284" s="10">
        <v>5</v>
      </c>
      <c r="Z284" s="10" t="s">
        <v>145</v>
      </c>
      <c r="AA284" s="78">
        <f>_xll.HumidairTdbRHPsi(H284,I284,M284,Z284)</f>
        <v>-4.8077704824323089</v>
      </c>
      <c r="AB284" s="81">
        <f t="shared" si="269"/>
        <v>32.192229517567689</v>
      </c>
      <c r="AC284" s="80">
        <v>32.192229517567689</v>
      </c>
      <c r="AE284" s="10" t="s">
        <v>146</v>
      </c>
      <c r="AF284" s="78">
        <f>_xll.HumidairTdbRHPsi(H284,I284,M284,AE284)</f>
        <v>-7.0282226657622013</v>
      </c>
      <c r="AG284" s="81">
        <f t="shared" si="270"/>
        <v>29.9717773342378</v>
      </c>
      <c r="AH284" s="80">
        <v>29.9717773342378</v>
      </c>
      <c r="AJ284" s="10" t="s">
        <v>150</v>
      </c>
      <c r="AK284" s="84">
        <f>_xll.HumidairTdbRHPsi(H284,I284,M284,AJ284)</f>
        <v>0.78613312340171571</v>
      </c>
      <c r="AL284" s="58">
        <v>0.78613312340171571</v>
      </c>
      <c r="AN284" s="49">
        <f t="shared" si="260"/>
        <v>0.54037145048943758</v>
      </c>
      <c r="AO284" s="81">
        <f t="shared" si="271"/>
        <v>1.652150090819416</v>
      </c>
      <c r="AP284" s="81">
        <f t="shared" si="261"/>
        <v>4.0357675093860745</v>
      </c>
      <c r="AR284" s="58">
        <v>0.54037145048943758</v>
      </c>
      <c r="AS284" s="155">
        <v>1.652150090819416</v>
      </c>
      <c r="AT284" s="155">
        <v>4.0357675093860745</v>
      </c>
      <c r="AU284" s="140"/>
      <c r="AV284" s="49">
        <f t="shared" si="262"/>
        <v>9.4628549510562432E-2</v>
      </c>
      <c r="AW284" s="162">
        <f t="shared" si="263"/>
        <v>9.4628549510562436E-5</v>
      </c>
      <c r="AX284" s="10">
        <f t="shared" si="264"/>
        <v>30</v>
      </c>
      <c r="AY284" s="55">
        <f t="shared" si="265"/>
        <v>2.3647674522689552E-3</v>
      </c>
      <c r="AZ284" s="55">
        <f t="shared" si="266"/>
        <v>1.3885892262295685E-3</v>
      </c>
      <c r="BB284" s="58">
        <v>9.4628549510562432E-2</v>
      </c>
      <c r="BC284" s="167">
        <v>9.4628549510562436E-5</v>
      </c>
      <c r="BD284" s="168">
        <v>30</v>
      </c>
      <c r="BE284" s="170">
        <v>2.3647674522689552E-3</v>
      </c>
      <c r="BF284" s="171">
        <v>1.3885892262295685E-3</v>
      </c>
      <c r="BH284" s="81">
        <f t="shared" si="272"/>
        <v>355.70908079462185</v>
      </c>
      <c r="BI284" s="80">
        <v>355.70908079462185</v>
      </c>
      <c r="BK284" s="81">
        <f t="shared" si="273"/>
        <v>32.192229517567689</v>
      </c>
      <c r="BL284" s="81">
        <f t="shared" si="274"/>
        <v>29.9717773342378</v>
      </c>
      <c r="BM284" s="81">
        <f t="shared" si="275"/>
        <v>2.2204521833298898</v>
      </c>
      <c r="BN284" s="192">
        <f t="shared" si="276"/>
        <v>6.8974787288906547E-2</v>
      </c>
      <c r="BO284" s="81">
        <f t="shared" si="277"/>
        <v>30</v>
      </c>
      <c r="BP284" s="49">
        <f t="shared" si="278"/>
        <v>2.0692436186671963</v>
      </c>
      <c r="BQ284" s="82">
        <f t="shared" si="279"/>
        <v>1490.1769217134188</v>
      </c>
      <c r="BS284" s="193">
        <v>1490.1769217134188</v>
      </c>
    </row>
    <row r="285" spans="1:71" x14ac:dyDescent="0.25">
      <c r="A285">
        <v>6</v>
      </c>
      <c r="C285" s="9" t="s">
        <v>29</v>
      </c>
      <c r="D285" s="10" t="s">
        <v>30</v>
      </c>
      <c r="E285" s="11" t="s">
        <v>31</v>
      </c>
      <c r="F285" s="33">
        <v>44217</v>
      </c>
      <c r="G285" s="34">
        <v>0.89236111111111116</v>
      </c>
      <c r="H285" s="28">
        <v>8</v>
      </c>
      <c r="I285" s="28">
        <v>80</v>
      </c>
      <c r="J285" s="28" t="s">
        <v>85</v>
      </c>
      <c r="K285" s="10">
        <v>2</v>
      </c>
      <c r="L285" s="47">
        <f t="shared" si="267"/>
        <v>101300.97600813</v>
      </c>
      <c r="M285" s="10">
        <f t="shared" si="259"/>
        <v>1.0130097600812999</v>
      </c>
      <c r="N285" s="10" t="s">
        <v>15</v>
      </c>
      <c r="O285" s="10">
        <f>_xll.HumidairTdbRHPsi(H285,I285,M285,N285)</f>
        <v>5.3358269403449314E-3</v>
      </c>
      <c r="P285" s="49">
        <f t="shared" si="268"/>
        <v>5.3358269403449317</v>
      </c>
      <c r="Q285" s="31"/>
      <c r="R285" s="58">
        <v>5.3358269403449317</v>
      </c>
      <c r="S285" s="4"/>
      <c r="T285" s="10">
        <v>6</v>
      </c>
      <c r="U285" s="10" t="s">
        <v>144</v>
      </c>
      <c r="V285" s="78">
        <f>_xll.HumidairTdbRHPsi(H285, I285,M285,U285)</f>
        <v>4.7647580991425684</v>
      </c>
      <c r="W285" s="79">
        <v>4.7647580991425684</v>
      </c>
      <c r="X285" s="4"/>
      <c r="Y285" s="10">
        <v>6</v>
      </c>
      <c r="Z285" s="10" t="s">
        <v>145</v>
      </c>
      <c r="AA285" s="78">
        <f>_xll.HumidairTdbRHPsi(H285,I285,M285,Z285)</f>
        <v>21.465226459810616</v>
      </c>
      <c r="AB285" s="81">
        <f t="shared" si="269"/>
        <v>58.465226459810616</v>
      </c>
      <c r="AC285" s="80">
        <v>58.465226459810616</v>
      </c>
      <c r="AE285" s="10" t="s">
        <v>146</v>
      </c>
      <c r="AF285" s="78">
        <f>_xll.HumidairTdbRHPsi(H285,I285,M285,AE285)</f>
        <v>8.0472438630229366</v>
      </c>
      <c r="AG285" s="81">
        <f t="shared" si="270"/>
        <v>45.047243863022935</v>
      </c>
      <c r="AH285" s="80">
        <v>45.047243863022935</v>
      </c>
      <c r="AJ285" s="10" t="s">
        <v>150</v>
      </c>
      <c r="AK285" s="84">
        <f>_xll.HumidairTdbRHPsi(H285,I285,M285,AJ285)</f>
        <v>0.79630425584190845</v>
      </c>
      <c r="AL285" s="58">
        <v>0.79630425584190845</v>
      </c>
      <c r="AN285" s="49">
        <f t="shared" si="260"/>
        <v>0.53346932790312007</v>
      </c>
      <c r="AO285" s="81">
        <f t="shared" si="271"/>
        <v>10.002125073091245</v>
      </c>
      <c r="AP285" s="81">
        <f t="shared" si="261"/>
        <v>24.432557077654504</v>
      </c>
      <c r="AR285" s="58">
        <v>0.53346932790312007</v>
      </c>
      <c r="AS285" s="155">
        <v>10.002125073091245</v>
      </c>
      <c r="AT285" s="155">
        <v>24.432557077654504</v>
      </c>
      <c r="AU285" s="140"/>
      <c r="AV285" s="49">
        <f t="shared" si="262"/>
        <v>0.10153067209687994</v>
      </c>
      <c r="AW285" s="162">
        <f t="shared" si="263"/>
        <v>1.0153067209687994E-4</v>
      </c>
      <c r="AX285" s="10">
        <f t="shared" si="264"/>
        <v>45</v>
      </c>
      <c r="AY285" s="55">
        <f t="shared" si="265"/>
        <v>3.8058772435515449E-3</v>
      </c>
      <c r="AZ285" s="55">
        <f t="shared" si="266"/>
        <v>2.2348075417214005E-3</v>
      </c>
      <c r="BB285" s="58">
        <v>0.10153067209687994</v>
      </c>
      <c r="BC285" s="167">
        <v>1.0153067209687994E-4</v>
      </c>
      <c r="BD285" s="168">
        <v>45</v>
      </c>
      <c r="BE285" s="170">
        <v>3.8058772435515449E-3</v>
      </c>
      <c r="BF285" s="171">
        <v>2.2348075417214005E-3</v>
      </c>
      <c r="BH285" s="81">
        <f t="shared" si="272"/>
        <v>351.16563632047905</v>
      </c>
      <c r="BI285" s="80">
        <v>351.16563632047905</v>
      </c>
      <c r="BK285" s="81">
        <f t="shared" si="273"/>
        <v>58.465226459810616</v>
      </c>
      <c r="BL285" s="81">
        <f t="shared" si="274"/>
        <v>45.047243863022935</v>
      </c>
      <c r="BM285" s="81">
        <f t="shared" si="275"/>
        <v>13.417982596787681</v>
      </c>
      <c r="BN285" s="192">
        <f t="shared" si="276"/>
        <v>0.22950364531661041</v>
      </c>
      <c r="BO285" s="81">
        <f t="shared" si="277"/>
        <v>45</v>
      </c>
      <c r="BP285" s="49">
        <f t="shared" si="278"/>
        <v>10.327664039247468</v>
      </c>
      <c r="BQ285" s="82">
        <f t="shared" si="279"/>
        <v>4621.276707922867</v>
      </c>
      <c r="BS285" s="193">
        <v>4621.276707922867</v>
      </c>
    </row>
    <row r="286" spans="1:71" x14ac:dyDescent="0.25">
      <c r="A286">
        <v>7</v>
      </c>
      <c r="B286" s="1" t="s">
        <v>32</v>
      </c>
      <c r="C286" s="9" t="s">
        <v>33</v>
      </c>
      <c r="D286" s="10" t="s">
        <v>34</v>
      </c>
      <c r="E286" s="11" t="s">
        <v>35</v>
      </c>
      <c r="F286" s="33">
        <v>44217</v>
      </c>
      <c r="G286" s="29">
        <v>0.2638888888888889</v>
      </c>
      <c r="H286" s="28">
        <v>1</v>
      </c>
      <c r="I286" s="28">
        <v>51</v>
      </c>
      <c r="J286" s="28" t="s">
        <v>107</v>
      </c>
      <c r="K286" s="10">
        <v>126</v>
      </c>
      <c r="L286" s="47">
        <f t="shared" si="267"/>
        <v>99820.46987859541</v>
      </c>
      <c r="M286" s="10">
        <f t="shared" si="259"/>
        <v>0.99820469878595408</v>
      </c>
      <c r="N286" s="10" t="s">
        <v>15</v>
      </c>
      <c r="O286" s="10">
        <f>_xll.HumidairTdbRHPsi(H286,I286,M286,N286)</f>
        <v>2.10325559639958E-3</v>
      </c>
      <c r="P286" s="49">
        <f t="shared" si="268"/>
        <v>2.1032555963995798</v>
      </c>
      <c r="Q286" s="31"/>
      <c r="R286" s="58">
        <v>2.1032555963995798</v>
      </c>
      <c r="S286" s="4"/>
      <c r="T286" s="10">
        <v>7</v>
      </c>
      <c r="U286" s="10" t="s">
        <v>144</v>
      </c>
      <c r="V286" s="78">
        <f>_xll.HumidairTdbRHPsi(H286, I286,M286,U286)</f>
        <v>-7.1073164503899875</v>
      </c>
      <c r="W286" s="79">
        <v>-7.1073164503899875</v>
      </c>
      <c r="X286" s="4"/>
      <c r="Y286" s="10">
        <v>7</v>
      </c>
      <c r="Z286" s="10" t="s">
        <v>145</v>
      </c>
      <c r="AA286" s="78">
        <f>_xll.HumidairTdbRHPsi(H286,I286,M286,Z286)</f>
        <v>6.2721417672707327</v>
      </c>
      <c r="AB286" s="81">
        <f t="shared" si="269"/>
        <v>43.272141767270732</v>
      </c>
      <c r="AC286" s="80">
        <v>43.272141767270732</v>
      </c>
      <c r="AE286" s="10" t="s">
        <v>146</v>
      </c>
      <c r="AF286" s="78">
        <f>_xll.HumidairTdbRHPsi(H286,I286,M286,AE286)</f>
        <v>1.0099766627810838</v>
      </c>
      <c r="AG286" s="81">
        <f t="shared" si="270"/>
        <v>38.009976662781085</v>
      </c>
      <c r="AH286" s="80">
        <v>38.009976662781085</v>
      </c>
      <c r="AJ286" s="10" t="s">
        <v>150</v>
      </c>
      <c r="AK286" s="84">
        <f>_xll.HumidairTdbRHPsi(H286,I286,M286,AJ286)</f>
        <v>0.7879333723766121</v>
      </c>
      <c r="AL286" s="58">
        <v>0.7879333723766121</v>
      </c>
      <c r="AN286" s="49">
        <f t="shared" si="260"/>
        <v>0.53913682433459831</v>
      </c>
      <c r="AO286" s="81">
        <f t="shared" si="271"/>
        <v>3.90115366168025</v>
      </c>
      <c r="AP286" s="81">
        <f t="shared" si="261"/>
        <v>9.5294908643094587</v>
      </c>
      <c r="AR286" s="58">
        <v>0.53913682433459831</v>
      </c>
      <c r="AS286" s="155">
        <v>3.90115366168025</v>
      </c>
      <c r="AT286" s="155">
        <v>9.5294908643094587</v>
      </c>
      <c r="AU286" s="140"/>
      <c r="AV286" s="49">
        <f t="shared" si="262"/>
        <v>9.5863175665401701E-2</v>
      </c>
      <c r="AW286" s="162">
        <f t="shared" si="263"/>
        <v>9.5863175665401699E-5</v>
      </c>
      <c r="AX286" s="10">
        <f t="shared" si="264"/>
        <v>38</v>
      </c>
      <c r="AY286" s="55">
        <f t="shared" si="265"/>
        <v>3.0344529625126251E-3</v>
      </c>
      <c r="AZ286" s="55">
        <f t="shared" si="266"/>
        <v>1.7818279286627276E-3</v>
      </c>
      <c r="BB286" s="58">
        <v>9.5863175665401701E-2</v>
      </c>
      <c r="BC286" s="167">
        <v>9.5863175665401699E-5</v>
      </c>
      <c r="BD286" s="168">
        <v>38</v>
      </c>
      <c r="BE286" s="170">
        <v>3.0344529625126251E-3</v>
      </c>
      <c r="BF286" s="171">
        <v>1.7818279286627276E-3</v>
      </c>
      <c r="BH286" s="81">
        <f t="shared" si="272"/>
        <v>354.8963662549009</v>
      </c>
      <c r="BI286" s="80">
        <v>354.8963662549009</v>
      </c>
      <c r="BK286" s="81">
        <f t="shared" si="273"/>
        <v>43.272141767270732</v>
      </c>
      <c r="BL286" s="81">
        <f t="shared" si="274"/>
        <v>38.009976662781085</v>
      </c>
      <c r="BM286" s="81">
        <f t="shared" si="275"/>
        <v>5.2621651044896467</v>
      </c>
      <c r="BN286" s="192">
        <f t="shared" si="276"/>
        <v>0.12160630118081495</v>
      </c>
      <c r="BO286" s="81">
        <f t="shared" si="277"/>
        <v>38</v>
      </c>
      <c r="BP286" s="49">
        <f t="shared" si="278"/>
        <v>4.6210394448709682</v>
      </c>
      <c r="BQ286" s="82">
        <f t="shared" si="279"/>
        <v>2593.4263182972363</v>
      </c>
      <c r="BS286" s="193">
        <v>2593.4263182972363</v>
      </c>
    </row>
    <row r="287" spans="1:71" x14ac:dyDescent="0.25">
      <c r="A287">
        <v>8</v>
      </c>
      <c r="C287" s="9" t="s">
        <v>36</v>
      </c>
      <c r="D287" s="10" t="s">
        <v>37</v>
      </c>
      <c r="E287" s="11" t="s">
        <v>38</v>
      </c>
      <c r="F287" s="33">
        <v>44217</v>
      </c>
      <c r="G287" s="29">
        <v>0.55555555555555558</v>
      </c>
      <c r="H287" s="28">
        <v>-14</v>
      </c>
      <c r="I287" s="28">
        <v>38</v>
      </c>
      <c r="J287" s="28" t="s">
        <v>90</v>
      </c>
      <c r="K287" s="10">
        <v>143</v>
      </c>
      <c r="L287" s="47">
        <f t="shared" si="267"/>
        <v>99618.87034335341</v>
      </c>
      <c r="M287" s="10">
        <f t="shared" si="259"/>
        <v>0.99618870343353405</v>
      </c>
      <c r="N287" s="10" t="s">
        <v>15</v>
      </c>
      <c r="O287" s="10">
        <f>_xll.HumidairTdbRHPsi(H287,I287,M287,N287)</f>
        <v>4.3202685073389296E-4</v>
      </c>
      <c r="P287" s="49">
        <f t="shared" si="268"/>
        <v>0.43202685073389296</v>
      </c>
      <c r="Q287" s="31"/>
      <c r="R287" s="58">
        <v>0.43202685073389296</v>
      </c>
      <c r="S287" s="4"/>
      <c r="T287" s="10">
        <v>8</v>
      </c>
      <c r="U287" s="10" t="s">
        <v>144</v>
      </c>
      <c r="V287" s="78">
        <f>_xll.HumidairTdbRHPsi(H287, I287,M287,U287)</f>
        <v>-24.155211185232076</v>
      </c>
      <c r="W287" s="79">
        <v>-24.155211185232076</v>
      </c>
      <c r="X287" s="4"/>
      <c r="Y287" s="10">
        <v>8</v>
      </c>
      <c r="Z287" s="10" t="s">
        <v>145</v>
      </c>
      <c r="AA287" s="78">
        <f>_xll.HumidairTdbRHPsi(H287,I287,M287,Z287)</f>
        <v>-13.006415376154944</v>
      </c>
      <c r="AB287" s="81">
        <f t="shared" si="269"/>
        <v>23.993584623845056</v>
      </c>
      <c r="AC287" s="80">
        <v>23.993584623845056</v>
      </c>
      <c r="AE287" s="10" t="s">
        <v>146</v>
      </c>
      <c r="AF287" s="78">
        <f>_xll.HumidairTdbRHPsi(H287,I287,M287,AE287)</f>
        <v>-14.075298289040759</v>
      </c>
      <c r="AG287" s="81">
        <f t="shared" si="270"/>
        <v>22.924701710959241</v>
      </c>
      <c r="AH287" s="80">
        <v>22.924701710959241</v>
      </c>
      <c r="AJ287" s="10" t="s">
        <v>150</v>
      </c>
      <c r="AK287" s="84">
        <f>_xll.HumidairTdbRHPsi(H287,I287,M287,AJ287)</f>
        <v>0.74617059012002096</v>
      </c>
      <c r="AL287" s="58">
        <v>0.74617059012002096</v>
      </c>
      <c r="AN287" s="49">
        <f t="shared" si="260"/>
        <v>0.56931203372950911</v>
      </c>
      <c r="AO287" s="81">
        <f t="shared" si="271"/>
        <v>0.75885775310900427</v>
      </c>
      <c r="AP287" s="81">
        <f t="shared" si="261"/>
        <v>1.8536896140738011</v>
      </c>
      <c r="AR287" s="58">
        <v>0.56931203372950911</v>
      </c>
      <c r="AS287" s="155">
        <v>0.75885775310900427</v>
      </c>
      <c r="AT287" s="155">
        <v>1.8536896140738011</v>
      </c>
      <c r="AU287" s="140"/>
      <c r="AV287" s="49">
        <f t="shared" si="262"/>
        <v>6.5687966270490894E-2</v>
      </c>
      <c r="AW287" s="162">
        <f t="shared" si="263"/>
        <v>6.568796627049089E-5</v>
      </c>
      <c r="AX287" s="10">
        <f t="shared" si="264"/>
        <v>23</v>
      </c>
      <c r="AY287" s="55">
        <f t="shared" si="265"/>
        <v>1.258515745776335E-3</v>
      </c>
      <c r="AZ287" s="55">
        <f t="shared" si="266"/>
        <v>7.3899926352104228E-4</v>
      </c>
      <c r="BB287" s="58">
        <v>6.5687966270490894E-2</v>
      </c>
      <c r="BC287" s="167">
        <v>6.568796627049089E-5</v>
      </c>
      <c r="BD287" s="168">
        <v>23</v>
      </c>
      <c r="BE287" s="170">
        <v>1.258515745776335E-3</v>
      </c>
      <c r="BF287" s="171">
        <v>7.3899926352104228E-4</v>
      </c>
      <c r="BH287" s="81">
        <f t="shared" si="272"/>
        <v>374.7597324392674</v>
      </c>
      <c r="BI287" s="80">
        <v>374.7597324392674</v>
      </c>
      <c r="BK287" s="81">
        <f t="shared" si="273"/>
        <v>23.993584623845056</v>
      </c>
      <c r="BL287" s="81">
        <f t="shared" si="274"/>
        <v>22.924701710959241</v>
      </c>
      <c r="BM287" s="81">
        <f t="shared" si="275"/>
        <v>1.0688829128858153</v>
      </c>
      <c r="BN287" s="192">
        <f t="shared" si="276"/>
        <v>4.4548696230389401E-2</v>
      </c>
      <c r="BO287" s="81">
        <f t="shared" si="277"/>
        <v>23</v>
      </c>
      <c r="BP287" s="49">
        <f t="shared" si="278"/>
        <v>1.0246200132989562</v>
      </c>
      <c r="BQ287" s="82">
        <f t="shared" si="279"/>
        <v>1386.4966636327117</v>
      </c>
      <c r="BS287" s="193">
        <v>1386.4966636327117</v>
      </c>
    </row>
    <row r="288" spans="1:71" x14ac:dyDescent="0.25">
      <c r="A288">
        <v>9</v>
      </c>
      <c r="C288" s="68" t="s">
        <v>39</v>
      </c>
      <c r="D288" s="10" t="s">
        <v>40</v>
      </c>
      <c r="E288" s="11" t="s">
        <v>41</v>
      </c>
      <c r="F288" s="33">
        <v>44217</v>
      </c>
      <c r="G288" s="29">
        <v>9.7222222222222224E-3</v>
      </c>
      <c r="H288" s="28">
        <v>-22</v>
      </c>
      <c r="I288" s="28">
        <v>82</v>
      </c>
      <c r="J288" s="28" t="s">
        <v>88</v>
      </c>
      <c r="K288" s="10">
        <v>62</v>
      </c>
      <c r="L288" s="47">
        <f t="shared" si="267"/>
        <v>100582.39802554256</v>
      </c>
      <c r="M288" s="10">
        <f t="shared" si="259"/>
        <v>1.0058239802554256</v>
      </c>
      <c r="N288" s="10" t="s">
        <v>15</v>
      </c>
      <c r="O288" s="10">
        <f>_xll.HumidairTdbRHPsi(H288,I288,M288,N288)</f>
        <v>4.3370263476799007E-4</v>
      </c>
      <c r="P288" s="49">
        <f t="shared" si="268"/>
        <v>0.43370263476799009</v>
      </c>
      <c r="Q288" s="31"/>
      <c r="R288" s="58">
        <v>0.43370263476799009</v>
      </c>
      <c r="S288" s="4"/>
      <c r="T288" s="10">
        <v>9</v>
      </c>
      <c r="U288" s="10" t="s">
        <v>144</v>
      </c>
      <c r="V288" s="78">
        <f>_xll.HumidairTdbRHPsi(H288, I288,M288,U288)</f>
        <v>-24.019491574233257</v>
      </c>
      <c r="W288" s="79">
        <v>-24.019491574233257</v>
      </c>
      <c r="X288" s="4"/>
      <c r="Y288" s="10">
        <v>9</v>
      </c>
      <c r="Z288" s="10" t="s">
        <v>145</v>
      </c>
      <c r="AA288" s="78">
        <f>_xll.HumidairTdbRHPsi(H288,I288,M288,Z288)</f>
        <v>-21.057116018614952</v>
      </c>
      <c r="AB288" s="81">
        <f t="shared" si="269"/>
        <v>15.942883981385048</v>
      </c>
      <c r="AC288" s="80">
        <v>15.942883981385048</v>
      </c>
      <c r="AE288" s="10" t="s">
        <v>146</v>
      </c>
      <c r="AF288" s="78">
        <f>_xll.HumidairTdbRHPsi(H288,I288,M288,AE288)</f>
        <v>-22.123669871928964</v>
      </c>
      <c r="AG288" s="81">
        <f t="shared" si="270"/>
        <v>14.876330128071036</v>
      </c>
      <c r="AH288" s="80">
        <v>14.876330128071036</v>
      </c>
      <c r="AJ288" s="10" t="s">
        <v>150</v>
      </c>
      <c r="AK288" s="84">
        <f>_xll.HumidairTdbRHPsi(H288,I288,M288,AJ288)</f>
        <v>0.71610547152677084</v>
      </c>
      <c r="AL288" s="58">
        <v>0.71610547152677084</v>
      </c>
      <c r="AN288" s="49">
        <f t="shared" si="260"/>
        <v>0.59321414660423555</v>
      </c>
      <c r="AO288" s="81">
        <f t="shared" si="271"/>
        <v>0.73110635889358855</v>
      </c>
      <c r="AP288" s="81">
        <f t="shared" si="261"/>
        <v>1.7859002674901672</v>
      </c>
      <c r="AR288" s="58">
        <v>0.59321414660423555</v>
      </c>
      <c r="AS288" s="155">
        <v>0.73110635889358855</v>
      </c>
      <c r="AT288" s="155">
        <v>1.7859002674901672</v>
      </c>
      <c r="AU288" s="140"/>
      <c r="AV288" s="49">
        <f t="shared" si="262"/>
        <v>4.1785853395764461E-2</v>
      </c>
      <c r="AW288" s="162">
        <f t="shared" si="263"/>
        <v>4.1785853395764463E-5</v>
      </c>
      <c r="AX288" s="10">
        <f t="shared" si="264"/>
        <v>15</v>
      </c>
      <c r="AY288" s="55">
        <f t="shared" si="265"/>
        <v>5.2211423818007696E-4</v>
      </c>
      <c r="AZ288" s="55">
        <f t="shared" si="266"/>
        <v>3.0658499012335699E-4</v>
      </c>
      <c r="BB288" s="58">
        <v>4.1785853395764461E-2</v>
      </c>
      <c r="BC288" s="167">
        <v>4.1785853395764463E-5</v>
      </c>
      <c r="BD288" s="168">
        <v>15</v>
      </c>
      <c r="BE288" s="170">
        <v>5.2211423818007696E-4</v>
      </c>
      <c r="BF288" s="171">
        <v>3.0658499012335699E-4</v>
      </c>
      <c r="BH288" s="81">
        <f t="shared" si="272"/>
        <v>390.49372170168579</v>
      </c>
      <c r="BI288" s="80">
        <v>390.49372170168579</v>
      </c>
      <c r="BK288" s="81">
        <f t="shared" si="273"/>
        <v>15.942883981385048</v>
      </c>
      <c r="BL288" s="81">
        <f t="shared" si="274"/>
        <v>14.876330128071036</v>
      </c>
      <c r="BM288" s="81">
        <f t="shared" si="275"/>
        <v>1.0665538533140122</v>
      </c>
      <c r="BN288" s="192">
        <f t="shared" si="276"/>
        <v>6.6898426568199526E-2</v>
      </c>
      <c r="BO288" s="81">
        <f t="shared" si="277"/>
        <v>15</v>
      </c>
      <c r="BP288" s="49">
        <f t="shared" si="278"/>
        <v>1.0034763985229929</v>
      </c>
      <c r="BQ288" s="82">
        <f t="shared" si="279"/>
        <v>3273.0773875108362</v>
      </c>
      <c r="BS288" s="193">
        <v>3273.0773875108362</v>
      </c>
    </row>
    <row r="289" spans="1:71" x14ac:dyDescent="0.25">
      <c r="A289" s="5">
        <v>10</v>
      </c>
      <c r="B289" s="14"/>
      <c r="C289" s="12" t="s">
        <v>42</v>
      </c>
      <c r="D289" s="13" t="s">
        <v>43</v>
      </c>
      <c r="E289" s="8" t="s">
        <v>44</v>
      </c>
      <c r="F289" s="33">
        <v>44217</v>
      </c>
      <c r="G289" s="29">
        <v>0.97638888888888886</v>
      </c>
      <c r="H289" s="28">
        <v>-20</v>
      </c>
      <c r="I289" s="28">
        <v>74</v>
      </c>
      <c r="J289" s="28" t="s">
        <v>88</v>
      </c>
      <c r="K289" s="10">
        <v>255</v>
      </c>
      <c r="L289" s="47">
        <f t="shared" si="267"/>
        <v>98298.910193542106</v>
      </c>
      <c r="M289" s="10">
        <f t="shared" si="259"/>
        <v>0.98298910193542111</v>
      </c>
      <c r="N289" s="10" t="s">
        <v>15</v>
      </c>
      <c r="O289" s="10">
        <f>_xll.HumidairTdbRHPsi(H289,I289,M289,N289)</f>
        <v>4.8593110619162211E-4</v>
      </c>
      <c r="P289" s="49">
        <f t="shared" si="268"/>
        <v>0.48593110619162211</v>
      </c>
      <c r="Q289" s="31"/>
      <c r="R289" s="58">
        <v>0.48593110619162211</v>
      </c>
      <c r="S289" s="4"/>
      <c r="T289" s="10">
        <v>10</v>
      </c>
      <c r="U289" s="10" t="s">
        <v>144</v>
      </c>
      <c r="V289" s="78">
        <f>_xll.HumidairTdbRHPsi(H289, I289,M289,U289)</f>
        <v>-23.099967171566448</v>
      </c>
      <c r="W289" s="79">
        <v>-23.099967171566448</v>
      </c>
      <c r="X289" s="4"/>
      <c r="Y289" s="10">
        <v>10</v>
      </c>
      <c r="Z289" s="10" t="s">
        <v>145</v>
      </c>
      <c r="AA289" s="78">
        <f>_xll.HumidairTdbRHPsi(H289,I289,M289,Z289)</f>
        <v>-18.908144452052589</v>
      </c>
      <c r="AB289" s="81">
        <f t="shared" si="269"/>
        <v>18.091855547947411</v>
      </c>
      <c r="AC289" s="80">
        <v>18.091855547947411</v>
      </c>
      <c r="AE289" s="10" t="s">
        <v>146</v>
      </c>
      <c r="AF289" s="78">
        <f>_xll.HumidairTdbRHPsi(H289,I289,M289,AE289)</f>
        <v>-20.104958106121746</v>
      </c>
      <c r="AG289" s="81">
        <f t="shared" si="270"/>
        <v>16.895041893878254</v>
      </c>
      <c r="AH289" s="80">
        <v>16.895041893878254</v>
      </c>
      <c r="AJ289" s="10" t="s">
        <v>150</v>
      </c>
      <c r="AK289" s="84">
        <f>_xll.HumidairTdbRHPsi(H289,I289,M289,AJ289)</f>
        <v>0.73861698786701646</v>
      </c>
      <c r="AL289" s="58">
        <v>0.73861698786701646</v>
      </c>
      <c r="AN289" s="49">
        <f t="shared" si="260"/>
        <v>0.575134207780854</v>
      </c>
      <c r="AO289" s="81">
        <f t="shared" si="271"/>
        <v>0.84490037215240488</v>
      </c>
      <c r="AP289" s="81">
        <f t="shared" si="261"/>
        <v>2.0638690694921737</v>
      </c>
      <c r="AR289" s="58">
        <v>0.575134207780854</v>
      </c>
      <c r="AS289" s="155">
        <v>0.84490037215240488</v>
      </c>
      <c r="AT289" s="155">
        <v>2.0638690694921737</v>
      </c>
      <c r="AU289" s="140"/>
      <c r="AV289" s="49">
        <f t="shared" si="262"/>
        <v>5.9865792219146008E-2</v>
      </c>
      <c r="AW289" s="162">
        <f t="shared" si="263"/>
        <v>5.9865792219146007E-5</v>
      </c>
      <c r="AX289" s="10">
        <f t="shared" si="264"/>
        <v>17</v>
      </c>
      <c r="AY289" s="55">
        <f t="shared" si="265"/>
        <v>8.4775948361532662E-4</v>
      </c>
      <c r="AZ289" s="55">
        <f t="shared" si="266"/>
        <v>4.9780357229320415E-4</v>
      </c>
      <c r="BB289" s="58">
        <v>5.9865792219146008E-2</v>
      </c>
      <c r="BC289" s="167">
        <v>5.9865792219146007E-5</v>
      </c>
      <c r="BD289" s="168">
        <v>17</v>
      </c>
      <c r="BE289" s="170">
        <v>8.4775948361532662E-4</v>
      </c>
      <c r="BF289" s="171">
        <v>4.9780357229320415E-4</v>
      </c>
      <c r="BH289" s="81">
        <f t="shared" si="272"/>
        <v>378.59228165731804</v>
      </c>
      <c r="BI289" s="80">
        <v>378.59228165731804</v>
      </c>
      <c r="BK289" s="81">
        <f t="shared" si="273"/>
        <v>18.091855547947411</v>
      </c>
      <c r="BL289" s="81">
        <f t="shared" si="274"/>
        <v>16.895041893878254</v>
      </c>
      <c r="BM289" s="81">
        <f t="shared" si="275"/>
        <v>1.1968136540691567</v>
      </c>
      <c r="BN289" s="192">
        <f t="shared" si="276"/>
        <v>6.6152067757634714E-2</v>
      </c>
      <c r="BO289" s="81">
        <f t="shared" si="277"/>
        <v>17</v>
      </c>
      <c r="BP289" s="49">
        <f t="shared" si="278"/>
        <v>1.1245851518797902</v>
      </c>
      <c r="BQ289" s="82">
        <f t="shared" si="279"/>
        <v>2259.0941778485562</v>
      </c>
      <c r="BS289" s="193">
        <v>2259.0941778485562</v>
      </c>
    </row>
    <row r="290" spans="1:71" x14ac:dyDescent="0.25">
      <c r="A290">
        <v>11</v>
      </c>
      <c r="C290" s="9" t="s">
        <v>77</v>
      </c>
      <c r="D290" s="10" t="s">
        <v>78</v>
      </c>
      <c r="E290" s="11" t="s">
        <v>79</v>
      </c>
      <c r="F290" s="33">
        <v>44217</v>
      </c>
      <c r="G290" s="34">
        <v>0.22013888888888888</v>
      </c>
      <c r="H290" s="28">
        <v>9</v>
      </c>
      <c r="I290" s="28">
        <v>34</v>
      </c>
      <c r="J290" s="28" t="s">
        <v>88</v>
      </c>
      <c r="K290" s="10">
        <v>138</v>
      </c>
      <c r="L290" s="47">
        <f>+((101325*(1-(2.25577*10^-5)*(K290))^5.25588))</f>
        <v>99678.130068961269</v>
      </c>
      <c r="M290" s="10">
        <f t="shared" si="259"/>
        <v>0.99678130068961268</v>
      </c>
      <c r="N290" s="10" t="s">
        <v>15</v>
      </c>
      <c r="O290" s="10">
        <f>_xll.HumidairTdbRHPsi(H290,I290,M290,N290)</f>
        <v>2.4548931320389263E-3</v>
      </c>
      <c r="P290" s="49">
        <f>+O290*1000</f>
        <v>2.4548931320389262</v>
      </c>
      <c r="Q290" s="31"/>
      <c r="R290" s="58">
        <v>2.4548931320389262</v>
      </c>
      <c r="S290" s="4"/>
      <c r="T290" s="10">
        <v>11</v>
      </c>
      <c r="U290" s="10" t="s">
        <v>144</v>
      </c>
      <c r="V290" s="78">
        <f>_xll.HumidairTdbRHPsi(H290, I290,M290,U290)</f>
        <v>-5.3380030221852621</v>
      </c>
      <c r="W290" s="79">
        <v>-5.3380030221852621</v>
      </c>
      <c r="X290" s="4"/>
      <c r="Y290" s="10">
        <v>11</v>
      </c>
      <c r="Z290" s="10" t="s">
        <v>145</v>
      </c>
      <c r="AA290" s="78">
        <f>_xll.HumidairTdbRHPsi(H290,I290,M290,Z290)</f>
        <v>15.236018004412655</v>
      </c>
      <c r="AB290" s="81">
        <f t="shared" si="269"/>
        <v>52.236018004412657</v>
      </c>
      <c r="AC290" s="80">
        <v>52.236018004412657</v>
      </c>
      <c r="AE290" s="10" t="s">
        <v>146</v>
      </c>
      <c r="AF290" s="78">
        <f>_xll.HumidairTdbRHPsi(H290,I290,M290,AE290)</f>
        <v>9.0574334917599995</v>
      </c>
      <c r="AG290" s="81">
        <f t="shared" si="270"/>
        <v>46.057433491760001</v>
      </c>
      <c r="AH290" s="80">
        <v>46.057433491760001</v>
      </c>
      <c r="AJ290" s="10" t="s">
        <v>150</v>
      </c>
      <c r="AK290" s="84">
        <f>_xll.HumidairTdbRHPsi(H290,I290,M290,AJ290)</f>
        <v>0.8121627405049453</v>
      </c>
      <c r="AL290" s="58">
        <v>0.8121627405049453</v>
      </c>
      <c r="AN290" s="49">
        <f t="shared" si="260"/>
        <v>0.52305267772597408</v>
      </c>
      <c r="AO290" s="81">
        <f t="shared" si="271"/>
        <v>4.6933955920306714</v>
      </c>
      <c r="AP290" s="81">
        <f t="shared" si="261"/>
        <v>11.464729230271578</v>
      </c>
      <c r="AR290" s="58">
        <v>0.52305267772597408</v>
      </c>
      <c r="AS290" s="155">
        <v>4.6933955920306714</v>
      </c>
      <c r="AT290" s="155">
        <v>11.464729230271578</v>
      </c>
      <c r="AU290" s="140"/>
      <c r="AV290" s="49">
        <f t="shared" si="262"/>
        <v>0.11194732227402593</v>
      </c>
      <c r="AW290" s="162">
        <f t="shared" si="263"/>
        <v>1.1194732227402592E-4</v>
      </c>
      <c r="AX290" s="10">
        <f t="shared" si="264"/>
        <v>46</v>
      </c>
      <c r="AY290" s="55">
        <f t="shared" si="265"/>
        <v>4.289597494896125E-3</v>
      </c>
      <c r="AZ290" s="55">
        <f t="shared" si="266"/>
        <v>2.5188476188468143E-3</v>
      </c>
      <c r="BB290" s="58">
        <v>0.11194732227402593</v>
      </c>
      <c r="BC290" s="167">
        <v>1.1194732227402592E-4</v>
      </c>
      <c r="BD290" s="168">
        <v>46</v>
      </c>
      <c r="BE290" s="170">
        <v>4.289597494896125E-3</v>
      </c>
      <c r="BF290" s="171">
        <v>2.5188476188468143E-3</v>
      </c>
      <c r="BH290" s="81">
        <f t="shared" si="272"/>
        <v>344.30869179442078</v>
      </c>
      <c r="BI290" s="80">
        <v>344.30869179442078</v>
      </c>
      <c r="BK290" s="81">
        <f t="shared" si="273"/>
        <v>52.236018004412657</v>
      </c>
      <c r="BL290" s="81">
        <f t="shared" si="274"/>
        <v>46.057433491760001</v>
      </c>
      <c r="BM290" s="81">
        <f t="shared" si="275"/>
        <v>6.1785845126526553</v>
      </c>
      <c r="BN290" s="192">
        <f t="shared" si="276"/>
        <v>0.11828207334124735</v>
      </c>
      <c r="BO290" s="81">
        <f t="shared" si="277"/>
        <v>46</v>
      </c>
      <c r="BP290" s="49">
        <f t="shared" si="278"/>
        <v>5.4409753736973778</v>
      </c>
      <c r="BQ290" s="82">
        <f t="shared" si="279"/>
        <v>2160.1050150816109</v>
      </c>
      <c r="BS290" s="193">
        <v>2160.1050150816109</v>
      </c>
    </row>
    <row r="291" spans="1:71" x14ac:dyDescent="0.25">
      <c r="A291">
        <v>12</v>
      </c>
      <c r="B291" s="1" t="s">
        <v>48</v>
      </c>
      <c r="C291" s="9" t="s">
        <v>45</v>
      </c>
      <c r="D291" s="10" t="s">
        <v>46</v>
      </c>
      <c r="E291" s="11" t="s">
        <v>47</v>
      </c>
      <c r="F291" s="33">
        <v>44217</v>
      </c>
      <c r="G291" s="29">
        <v>0.27013888888888887</v>
      </c>
      <c r="H291" s="28">
        <v>25</v>
      </c>
      <c r="I291" s="28">
        <v>87</v>
      </c>
      <c r="J291" s="28" t="s">
        <v>75</v>
      </c>
      <c r="K291" s="10">
        <v>30</v>
      </c>
      <c r="L291" s="47">
        <f>+((101325*(1-(2.25577*10^-5)*(K291))^5.25588))</f>
        <v>100965.12412724759</v>
      </c>
      <c r="M291" s="10">
        <f t="shared" si="259"/>
        <v>1.0096512412724759</v>
      </c>
      <c r="N291" s="10" t="s">
        <v>15</v>
      </c>
      <c r="O291" s="10">
        <f>_xll.HumidairTdbRHPsi(H291,I291,M291,N291)</f>
        <v>1.7537489947038094E-2</v>
      </c>
      <c r="P291" s="49">
        <f>+O291*1000</f>
        <v>17.537489947038093</v>
      </c>
      <c r="Q291" s="31"/>
      <c r="R291" s="58">
        <v>17.537489947038093</v>
      </c>
      <c r="S291" s="4"/>
      <c r="T291" s="10">
        <v>12</v>
      </c>
      <c r="U291" s="10" t="s">
        <v>144</v>
      </c>
      <c r="V291" s="78">
        <f>_xll.HumidairTdbRHPsi(H291, I291,M291,U291)</f>
        <v>22.685536479131258</v>
      </c>
      <c r="W291" s="79">
        <v>22.685536479131258</v>
      </c>
      <c r="X291" s="4"/>
      <c r="Y291" s="10">
        <v>12</v>
      </c>
      <c r="Z291" s="10" t="s">
        <v>145</v>
      </c>
      <c r="AA291" s="78">
        <f>_xll.HumidairTdbRHPsi(H291,I291,M291,Z291)</f>
        <v>69.800811749602843</v>
      </c>
      <c r="AB291" s="81">
        <f t="shared" si="269"/>
        <v>106.80081174960284</v>
      </c>
      <c r="AC291" s="80">
        <v>106.80081174960284</v>
      </c>
      <c r="AE291" s="10" t="s">
        <v>146</v>
      </c>
      <c r="AF291" s="78">
        <f>_xll.HumidairTdbRHPsi(H291,I291,M291,AE291)</f>
        <v>25.153197145646878</v>
      </c>
      <c r="AG291" s="81">
        <f t="shared" si="270"/>
        <v>62.153197145646878</v>
      </c>
      <c r="AH291" s="80">
        <v>62.153197145646878</v>
      </c>
      <c r="AJ291" s="10" t="s">
        <v>150</v>
      </c>
      <c r="AK291" s="84">
        <f>_xll.HumidairTdbRHPsi(H291,I291,M291,AJ291)</f>
        <v>0.84741250590286754</v>
      </c>
      <c r="AL291" s="58">
        <v>0.84741250590286754</v>
      </c>
      <c r="AN291" s="49">
        <f t="shared" si="260"/>
        <v>0.50129528796341505</v>
      </c>
      <c r="AO291" s="81">
        <f t="shared" si="271"/>
        <v>34.984350278429098</v>
      </c>
      <c r="AP291" s="81">
        <f t="shared" si="261"/>
        <v>85.457553145574394</v>
      </c>
      <c r="AR291" s="58">
        <v>0.50129528796341505</v>
      </c>
      <c r="AS291" s="155">
        <v>34.984350278429098</v>
      </c>
      <c r="AT291" s="155">
        <v>85.457553145574394</v>
      </c>
      <c r="AU291" s="140"/>
      <c r="AV291" s="49">
        <f t="shared" si="262"/>
        <v>0.13370471203658496</v>
      </c>
      <c r="AW291" s="162">
        <f t="shared" si="263"/>
        <v>1.3370471203658497E-4</v>
      </c>
      <c r="AX291" s="10">
        <f t="shared" si="264"/>
        <v>62</v>
      </c>
      <c r="AY291" s="55">
        <f t="shared" si="265"/>
        <v>6.9053135578414672E-3</v>
      </c>
      <c r="AZ291" s="55">
        <f t="shared" si="266"/>
        <v>4.054793633494696E-3</v>
      </c>
      <c r="BB291" s="58">
        <v>0.13370471203658496</v>
      </c>
      <c r="BC291" s="167">
        <v>1.3370471203658497E-4</v>
      </c>
      <c r="BD291" s="168">
        <v>62</v>
      </c>
      <c r="BE291" s="170">
        <v>6.9053135578414672E-3</v>
      </c>
      <c r="BF291" s="171">
        <v>4.054793633494696E-3</v>
      </c>
      <c r="BH291" s="81">
        <f t="shared" si="272"/>
        <v>329.98650451764962</v>
      </c>
      <c r="BI291" s="80">
        <v>329.98650451764962</v>
      </c>
      <c r="BK291" s="81">
        <f t="shared" si="273"/>
        <v>106.80081174960284</v>
      </c>
      <c r="BL291" s="81">
        <f t="shared" si="274"/>
        <v>62.153197145646878</v>
      </c>
      <c r="BM291" s="81">
        <f t="shared" si="275"/>
        <v>44.647614603955965</v>
      </c>
      <c r="BN291" s="192">
        <f t="shared" si="276"/>
        <v>0.41804564846036385</v>
      </c>
      <c r="BO291" s="81">
        <f t="shared" si="277"/>
        <v>62</v>
      </c>
      <c r="BP291" s="49">
        <f t="shared" si="278"/>
        <v>25.918830204542559</v>
      </c>
      <c r="BQ291" s="82">
        <f t="shared" si="279"/>
        <v>6392.1453339670834</v>
      </c>
      <c r="BS291" s="193">
        <v>6392.1453339670834</v>
      </c>
    </row>
    <row r="292" spans="1:71" x14ac:dyDescent="0.25">
      <c r="A292">
        <v>13</v>
      </c>
      <c r="C292" s="26" t="s">
        <v>49</v>
      </c>
      <c r="D292" s="27" t="s">
        <v>50</v>
      </c>
      <c r="E292" s="10" t="s">
        <v>51</v>
      </c>
      <c r="F292" s="33">
        <v>44217</v>
      </c>
      <c r="G292" s="29">
        <v>0.55486111111111114</v>
      </c>
      <c r="H292" s="28">
        <v>29</v>
      </c>
      <c r="I292" s="28">
        <v>71</v>
      </c>
      <c r="J292" s="28" t="s">
        <v>85</v>
      </c>
      <c r="K292" s="10">
        <v>3</v>
      </c>
      <c r="L292" s="47">
        <f>+((101325*(1-(2.25577*10^-5)*(K292))^5.25588))</f>
        <v>101288.96574192833</v>
      </c>
      <c r="M292" s="10">
        <f t="shared" si="259"/>
        <v>1.0128896574192834</v>
      </c>
      <c r="N292" s="10" t="s">
        <v>15</v>
      </c>
      <c r="O292" s="10">
        <f>_xll.HumidairTdbRHPsi(H292,I292,M292,N292)</f>
        <v>1.8060758996371048E-2</v>
      </c>
      <c r="P292" s="49">
        <f>+O292*1000</f>
        <v>18.06075899637105</v>
      </c>
      <c r="Q292" s="31"/>
      <c r="R292" s="58">
        <v>18.06075899637105</v>
      </c>
      <c r="S292" s="4"/>
      <c r="T292" s="10">
        <v>13</v>
      </c>
      <c r="U292" s="10" t="s">
        <v>144</v>
      </c>
      <c r="V292" s="78">
        <f>_xll.HumidairTdbRHPsi(H292, I292,M292,U292)</f>
        <v>23.210054640782744</v>
      </c>
      <c r="W292" s="79">
        <v>23.210054640782744</v>
      </c>
      <c r="X292" s="4"/>
      <c r="Y292" s="10">
        <v>13</v>
      </c>
      <c r="Z292" s="10" t="s">
        <v>145</v>
      </c>
      <c r="AA292" s="78">
        <f>_xll.HumidairTdbRHPsi(H292,I292,M292,Z292)</f>
        <v>75.29415611347558</v>
      </c>
      <c r="AB292" s="81">
        <f t="shared" si="269"/>
        <v>112.29415611347558</v>
      </c>
      <c r="AC292" s="80">
        <v>112.29415611347558</v>
      </c>
      <c r="AE292" s="10" t="s">
        <v>146</v>
      </c>
      <c r="AF292" s="78">
        <f>_xll.HumidairTdbRHPsi(H292,I292,M292,AE292)</f>
        <v>29.178492397226094</v>
      </c>
      <c r="AG292" s="81">
        <f t="shared" si="270"/>
        <v>66.178492397226094</v>
      </c>
      <c r="AH292" s="80">
        <v>66.178492397226094</v>
      </c>
      <c r="AJ292" s="10" t="s">
        <v>150</v>
      </c>
      <c r="AK292" s="84">
        <f>_xll.HumidairTdbRHPsi(H292,I292,M292,AJ292)</f>
        <v>0.85606538694283607</v>
      </c>
      <c r="AL292" s="58">
        <v>0.85606538694283607</v>
      </c>
      <c r="AN292" s="49">
        <f t="shared" si="260"/>
        <v>0.49622832864137689</v>
      </c>
      <c r="AO292" s="81">
        <f t="shared" si="271"/>
        <v>36.396065992079869</v>
      </c>
      <c r="AP292" s="81">
        <f t="shared" si="261"/>
        <v>88.906002799937127</v>
      </c>
      <c r="AR292" s="58">
        <v>0.49622832864137689</v>
      </c>
      <c r="AS292" s="155">
        <v>36.396065992079869</v>
      </c>
      <c r="AT292" s="155">
        <v>88.906002799937127</v>
      </c>
      <c r="AU292" s="140"/>
      <c r="AV292" s="49">
        <f t="shared" si="262"/>
        <v>0.13877167135862312</v>
      </c>
      <c r="AW292" s="162">
        <f t="shared" si="263"/>
        <v>1.3877167135862312E-4</v>
      </c>
      <c r="AX292" s="10">
        <f t="shared" si="264"/>
        <v>66</v>
      </c>
      <c r="AY292" s="55">
        <f t="shared" si="265"/>
        <v>7.6293889479543816E-3</v>
      </c>
      <c r="AZ292" s="55">
        <f t="shared" si="266"/>
        <v>4.4799700222867772E-3</v>
      </c>
      <c r="BB292" s="58">
        <v>0.13877167135862312</v>
      </c>
      <c r="BC292" s="167">
        <v>1.3877167135862312E-4</v>
      </c>
      <c r="BD292" s="168">
        <v>66</v>
      </c>
      <c r="BE292" s="170">
        <v>7.6293889479543816E-3</v>
      </c>
      <c r="BF292" s="171">
        <v>4.4799700222867772E-3</v>
      </c>
      <c r="BH292" s="81">
        <f t="shared" si="272"/>
        <v>326.65108877495362</v>
      </c>
      <c r="BI292" s="80">
        <v>326.65108877495362</v>
      </c>
      <c r="BK292" s="81">
        <f t="shared" si="273"/>
        <v>112.29415611347558</v>
      </c>
      <c r="BL292" s="81">
        <f t="shared" si="274"/>
        <v>66.178492397226094</v>
      </c>
      <c r="BM292" s="81">
        <f t="shared" si="275"/>
        <v>46.115663716249486</v>
      </c>
      <c r="BN292" s="192">
        <f t="shared" si="276"/>
        <v>0.41066842044432522</v>
      </c>
      <c r="BO292" s="81">
        <f t="shared" si="277"/>
        <v>66</v>
      </c>
      <c r="BP292" s="49">
        <f t="shared" si="278"/>
        <v>27.104115749325466</v>
      </c>
      <c r="BQ292" s="82">
        <f t="shared" si="279"/>
        <v>6050.0663206425461</v>
      </c>
      <c r="BS292" s="193">
        <v>6050.0663206425461</v>
      </c>
    </row>
    <row r="293" spans="1:71" x14ac:dyDescent="0.25">
      <c r="A293" s="5">
        <v>14</v>
      </c>
      <c r="B293" s="14"/>
      <c r="C293" s="9" t="s">
        <v>172</v>
      </c>
      <c r="D293" s="10" t="s">
        <v>83</v>
      </c>
      <c r="E293" s="10" t="s">
        <v>84</v>
      </c>
      <c r="F293" s="33">
        <v>44217</v>
      </c>
      <c r="G293" s="29">
        <v>0.34583333333333338</v>
      </c>
      <c r="H293" s="28">
        <v>29</v>
      </c>
      <c r="I293" s="28">
        <v>85</v>
      </c>
      <c r="J293" s="28" t="s">
        <v>131</v>
      </c>
      <c r="K293" s="10">
        <v>61</v>
      </c>
      <c r="L293" s="47">
        <f>+((101325*(1-(2.25577*10^-5)*(K293))^5.25588))</f>
        <v>100594.34040699142</v>
      </c>
      <c r="M293" s="10">
        <f t="shared" si="259"/>
        <v>1.0059434040699142</v>
      </c>
      <c r="N293" s="10" t="s">
        <v>15</v>
      </c>
      <c r="O293" s="10">
        <f>_xll.HumidairTdbRHPsi(H293,I293,M293,N293)</f>
        <v>2.1901562986942673E-2</v>
      </c>
      <c r="P293" s="49">
        <f>+O293*1000</f>
        <v>21.901562986942672</v>
      </c>
      <c r="Q293" s="31"/>
      <c r="R293" s="58">
        <v>21.901562986942672</v>
      </c>
      <c r="S293" s="4"/>
      <c r="T293" s="10">
        <v>14</v>
      </c>
      <c r="U293" s="10" t="s">
        <v>144</v>
      </c>
      <c r="V293" s="78">
        <f>_xll.HumidairTdbRHPsi(H293, I293,M293,U293)</f>
        <v>26.220955139543719</v>
      </c>
      <c r="W293" s="79">
        <v>26.220955139543719</v>
      </c>
      <c r="X293" s="4"/>
      <c r="Y293" s="10">
        <v>14</v>
      </c>
      <c r="Z293" s="10" t="s">
        <v>145</v>
      </c>
      <c r="AA293" s="78">
        <f>_xll.HumidairTdbRHPsi(H293,I293,M293,Z293)</f>
        <v>85.098305955158793</v>
      </c>
      <c r="AB293" s="81">
        <f t="shared" si="269"/>
        <v>122.09830595515879</v>
      </c>
      <c r="AC293" s="80">
        <v>122.09830595515879</v>
      </c>
      <c r="AE293" s="10" t="s">
        <v>146</v>
      </c>
      <c r="AF293" s="78">
        <f>_xll.HumidairTdbRHPsi(H293,I293,M293,AE293)</f>
        <v>29.180047714944752</v>
      </c>
      <c r="AG293" s="81">
        <f t="shared" si="270"/>
        <v>66.180047714944749</v>
      </c>
      <c r="AH293" s="80">
        <v>66.180047714944749</v>
      </c>
      <c r="AJ293" s="10" t="s">
        <v>150</v>
      </c>
      <c r="AK293" s="84">
        <f>_xll.HumidairTdbRHPsi(H293,I293,M293,AJ293)</f>
        <v>0.861978307378786</v>
      </c>
      <c r="AL293" s="58">
        <v>0.861978307378786</v>
      </c>
      <c r="AN293" s="49">
        <f t="shared" si="260"/>
        <v>0.49282434666154795</v>
      </c>
      <c r="AO293" s="81">
        <f t="shared" si="271"/>
        <v>44.44091111834576</v>
      </c>
      <c r="AP293" s="81">
        <f t="shared" si="261"/>
        <v>108.55744049862955</v>
      </c>
      <c r="AR293" s="58">
        <v>0.49282434666154795</v>
      </c>
      <c r="AS293" s="155">
        <v>44.44091111834576</v>
      </c>
      <c r="AT293" s="155">
        <v>108.55744049862955</v>
      </c>
      <c r="AU293" s="140"/>
      <c r="AV293" s="49">
        <f t="shared" si="262"/>
        <v>0.14217565333845206</v>
      </c>
      <c r="AW293" s="162">
        <f t="shared" si="263"/>
        <v>1.4217565333845205E-4</v>
      </c>
      <c r="AX293" s="10">
        <f t="shared" si="264"/>
        <v>66</v>
      </c>
      <c r="AY293" s="55">
        <f t="shared" si="265"/>
        <v>7.8165330692414169E-3</v>
      </c>
      <c r="AZ293" s="55">
        <f t="shared" si="266"/>
        <v>4.5898608744811605E-3</v>
      </c>
      <c r="BB293" s="58">
        <v>0.14217565333845206</v>
      </c>
      <c r="BC293" s="167">
        <v>1.4217565333845205E-4</v>
      </c>
      <c r="BD293" s="168">
        <v>66</v>
      </c>
      <c r="BE293" s="170">
        <v>7.8165330692414169E-3</v>
      </c>
      <c r="BF293" s="171">
        <v>4.5898608744811605E-3</v>
      </c>
      <c r="BH293" s="81">
        <f t="shared" si="272"/>
        <v>324.4103573299638</v>
      </c>
      <c r="BI293" s="80">
        <v>324.4103573299638</v>
      </c>
      <c r="BK293" s="81">
        <f t="shared" si="273"/>
        <v>122.09830595515879</v>
      </c>
      <c r="BL293" s="81">
        <f t="shared" si="274"/>
        <v>66.180047714944749</v>
      </c>
      <c r="BM293" s="81">
        <f t="shared" si="275"/>
        <v>55.918258240214044</v>
      </c>
      <c r="BN293" s="192">
        <f t="shared" si="276"/>
        <v>0.45797734704648813</v>
      </c>
      <c r="BO293" s="81">
        <f t="shared" si="277"/>
        <v>66</v>
      </c>
      <c r="BP293" s="49">
        <f t="shared" si="278"/>
        <v>30.226504905068218</v>
      </c>
      <c r="BQ293" s="82">
        <f t="shared" si="279"/>
        <v>6585.4947963940267</v>
      </c>
      <c r="BS293" s="193">
        <v>6585.4947963940267</v>
      </c>
    </row>
    <row r="294" spans="1:71" x14ac:dyDescent="0.25">
      <c r="A294">
        <v>15</v>
      </c>
      <c r="C294" s="9" t="s">
        <v>52</v>
      </c>
      <c r="D294" s="10" t="s">
        <v>53</v>
      </c>
      <c r="E294" s="10" t="s">
        <v>54</v>
      </c>
      <c r="F294" s="33">
        <v>44217</v>
      </c>
      <c r="G294" s="29">
        <v>0.10208333333333335</v>
      </c>
      <c r="H294" s="28">
        <v>16</v>
      </c>
      <c r="I294" s="28">
        <v>31</v>
      </c>
      <c r="J294" s="28" t="s">
        <v>88</v>
      </c>
      <c r="K294" s="10">
        <v>533</v>
      </c>
      <c r="L294" s="47">
        <f t="shared" ref="L294:L299" si="280">+((101325*(1-(2.25577*10^-5)*(K294))^5.25588))</f>
        <v>95083.68775760736</v>
      </c>
      <c r="M294" s="10">
        <f t="shared" si="259"/>
        <v>0.9508368775760736</v>
      </c>
      <c r="N294" s="10" t="s">
        <v>15</v>
      </c>
      <c r="O294" s="10">
        <f>_xll.HumidairTdbRHPsi(H294,I294,M294,N294)</f>
        <v>3.723719591461316E-3</v>
      </c>
      <c r="P294" s="49">
        <f t="shared" ref="P294:P299" si="281">+O294*1000</f>
        <v>3.7237195914613159</v>
      </c>
      <c r="Q294" s="31"/>
      <c r="R294" s="58">
        <v>3.7237195914613159</v>
      </c>
      <c r="S294" s="4"/>
      <c r="T294" s="10">
        <v>15</v>
      </c>
      <c r="U294" s="10" t="s">
        <v>144</v>
      </c>
      <c r="V294" s="78">
        <f>_xll.HumidairTdbRHPsi(H294, I294,M294,U294)</f>
        <v>-0.9776111123697433</v>
      </c>
      <c r="W294" s="79">
        <v>-0.9776111123697433</v>
      </c>
      <c r="X294" s="4"/>
      <c r="Y294" s="10">
        <v>15</v>
      </c>
      <c r="Z294" s="10" t="s">
        <v>145</v>
      </c>
      <c r="AA294" s="78">
        <f>_xll.HumidairTdbRHPsi(H294,I294,M294,Z294)</f>
        <v>25.53168890607034</v>
      </c>
      <c r="AB294" s="81">
        <f t="shared" si="269"/>
        <v>62.531688906070343</v>
      </c>
      <c r="AC294" s="80">
        <v>62.531688906070343</v>
      </c>
      <c r="AE294" s="10" t="s">
        <v>146</v>
      </c>
      <c r="AF294" s="78">
        <f>_xll.HumidairTdbRHPsi(H294,I294,M294,AE294)</f>
        <v>16.111061729215841</v>
      </c>
      <c r="AG294" s="81">
        <f t="shared" si="270"/>
        <v>53.111061729215841</v>
      </c>
      <c r="AH294" s="80">
        <v>53.111061729215841</v>
      </c>
      <c r="AJ294" s="10" t="s">
        <v>150</v>
      </c>
      <c r="AK294" s="84">
        <f>_xll.HumidairTdbRHPsi(H294,I294,M294,AJ294)</f>
        <v>0.87261076304959773</v>
      </c>
      <c r="AL294" s="58">
        <v>0.87261076304959773</v>
      </c>
      <c r="AN294" s="49">
        <f t="shared" si="260"/>
        <v>0.48681945508645075</v>
      </c>
      <c r="AO294" s="81">
        <f t="shared" si="271"/>
        <v>7.6490771939261295</v>
      </c>
      <c r="AP294" s="81">
        <f t="shared" si="261"/>
        <v>18.68468088194248</v>
      </c>
      <c r="AR294" s="58">
        <v>0.48681945508645075</v>
      </c>
      <c r="AS294" s="155">
        <v>7.6490771939261295</v>
      </c>
      <c r="AT294" s="155">
        <v>18.68468088194248</v>
      </c>
      <c r="AU294" s="140"/>
      <c r="AV294" s="49">
        <f t="shared" si="262"/>
        <v>0.14818054491354926</v>
      </c>
      <c r="AW294" s="162">
        <f t="shared" si="263"/>
        <v>1.4818054491354927E-4</v>
      </c>
      <c r="AX294" s="10">
        <f t="shared" si="264"/>
        <v>53</v>
      </c>
      <c r="AY294" s="55">
        <f t="shared" si="265"/>
        <v>6.5420228773882868E-3</v>
      </c>
      <c r="AZ294" s="55">
        <f t="shared" si="266"/>
        <v>3.8414696872509022E-3</v>
      </c>
      <c r="BB294" s="58">
        <v>0.14818054491354926</v>
      </c>
      <c r="BC294" s="167">
        <v>1.4818054491354927E-4</v>
      </c>
      <c r="BD294" s="168">
        <v>53</v>
      </c>
      <c r="BE294" s="170">
        <v>6.5420228773882868E-3</v>
      </c>
      <c r="BF294" s="171">
        <v>3.8414696872509022E-3</v>
      </c>
      <c r="BH294" s="81">
        <f t="shared" si="272"/>
        <v>320.45753106478173</v>
      </c>
      <c r="BI294" s="80">
        <v>320.45753106478173</v>
      </c>
      <c r="BK294" s="81">
        <f t="shared" si="273"/>
        <v>62.531688906070343</v>
      </c>
      <c r="BL294" s="81">
        <f t="shared" si="274"/>
        <v>53.111061729215841</v>
      </c>
      <c r="BM294" s="81">
        <f t="shared" si="275"/>
        <v>9.4206271768545022</v>
      </c>
      <c r="BN294" s="192">
        <f t="shared" si="276"/>
        <v>0.15065365003982778</v>
      </c>
      <c r="BO294" s="81">
        <f t="shared" si="277"/>
        <v>53</v>
      </c>
      <c r="BP294" s="49">
        <f t="shared" si="278"/>
        <v>7.9846434521108725</v>
      </c>
      <c r="BQ294" s="82">
        <f t="shared" si="279"/>
        <v>2078.5387110069787</v>
      </c>
      <c r="BS294" s="193">
        <v>2078.5387110069787</v>
      </c>
    </row>
    <row r="295" spans="1:71" x14ac:dyDescent="0.25">
      <c r="A295">
        <v>16</v>
      </c>
      <c r="C295" s="9" t="s">
        <v>55</v>
      </c>
      <c r="D295" s="10" t="s">
        <v>56</v>
      </c>
      <c r="E295" s="11" t="s">
        <v>57</v>
      </c>
      <c r="F295" s="33">
        <v>44217</v>
      </c>
      <c r="G295" s="29">
        <v>0.31041666666666667</v>
      </c>
      <c r="H295" s="28">
        <v>21</v>
      </c>
      <c r="I295" s="28">
        <v>77</v>
      </c>
      <c r="J295" s="28" t="s">
        <v>85</v>
      </c>
      <c r="K295" s="10">
        <v>61</v>
      </c>
      <c r="L295" s="47">
        <f t="shared" si="280"/>
        <v>100594.34040699142</v>
      </c>
      <c r="M295" s="10">
        <f t="shared" si="259"/>
        <v>1.0059434040699142</v>
      </c>
      <c r="N295" s="10" t="s">
        <v>15</v>
      </c>
      <c r="O295" s="10">
        <f>_xll.HumidairTdbRHPsi(H295,I295,M295,N295)</f>
        <v>1.212373099578285E-2</v>
      </c>
      <c r="P295" s="49">
        <f t="shared" si="281"/>
        <v>12.12373099578285</v>
      </c>
      <c r="Q295" s="31"/>
      <c r="R295" s="58">
        <v>12.12373099578285</v>
      </c>
      <c r="S295" s="4"/>
      <c r="T295" s="10">
        <v>16</v>
      </c>
      <c r="U295" s="10" t="s">
        <v>144</v>
      </c>
      <c r="V295" s="78">
        <f>_xll.HumidairTdbRHPsi(H295, I295,M295,U295)</f>
        <v>16.817664178567554</v>
      </c>
      <c r="W295" s="79">
        <v>16.817664178567554</v>
      </c>
      <c r="X295" s="4"/>
      <c r="Y295" s="10">
        <v>16</v>
      </c>
      <c r="Z295" s="10" t="s">
        <v>145</v>
      </c>
      <c r="AA295" s="78">
        <f>_xll.HumidairTdbRHPsi(H295,I295,M295,Z295)</f>
        <v>51.906355810605085</v>
      </c>
      <c r="AB295" s="81">
        <f t="shared" si="269"/>
        <v>88.906355810605078</v>
      </c>
      <c r="AC295" s="80">
        <v>88.906355810605078</v>
      </c>
      <c r="AE295" s="10" t="s">
        <v>146</v>
      </c>
      <c r="AF295" s="78">
        <f>_xll.HumidairTdbRHPsi(H295,I295,M295,AE295)</f>
        <v>21.128606014943504</v>
      </c>
      <c r="AG295" s="81">
        <f t="shared" si="270"/>
        <v>58.1286060149435</v>
      </c>
      <c r="AH295" s="80">
        <v>58.1286060149435</v>
      </c>
      <c r="AJ295" s="10" t="s">
        <v>150</v>
      </c>
      <c r="AK295" s="84">
        <f>_xll.HumidairTdbRHPsi(H295,I295,M295,AJ295)</f>
        <v>0.83909472406394281</v>
      </c>
      <c r="AL295" s="58">
        <v>0.83909472406394281</v>
      </c>
      <c r="AN295" s="49">
        <f t="shared" si="260"/>
        <v>0.50626453007944927</v>
      </c>
      <c r="AO295" s="81">
        <f t="shared" si="271"/>
        <v>23.947423284582559</v>
      </c>
      <c r="AP295" s="81">
        <f t="shared" si="261"/>
        <v>58.497247533667021</v>
      </c>
      <c r="AR295" s="58">
        <v>0.50626453007944927</v>
      </c>
      <c r="AS295" s="155">
        <v>23.947423284582559</v>
      </c>
      <c r="AT295" s="155">
        <v>58.497247533667021</v>
      </c>
      <c r="AU295" s="140"/>
      <c r="AV295" s="49">
        <f t="shared" si="262"/>
        <v>0.12873546992055074</v>
      </c>
      <c r="AW295" s="162">
        <f t="shared" si="263"/>
        <v>1.2873546992055073E-4</v>
      </c>
      <c r="AX295" s="10">
        <f t="shared" si="264"/>
        <v>58</v>
      </c>
      <c r="AY295" s="55">
        <f t="shared" si="265"/>
        <v>6.2197254937414875E-3</v>
      </c>
      <c r="AZ295" s="55">
        <f t="shared" si="266"/>
        <v>3.6522169663778551E-3</v>
      </c>
      <c r="BB295" s="58">
        <v>0.12873546992055074</v>
      </c>
      <c r="BC295" s="167">
        <v>1.2873546992055073E-4</v>
      </c>
      <c r="BD295" s="168">
        <v>58</v>
      </c>
      <c r="BE295" s="170">
        <v>6.2197254937414875E-3</v>
      </c>
      <c r="BF295" s="171">
        <v>3.6522169663778551E-3</v>
      </c>
      <c r="BH295" s="81">
        <f t="shared" si="272"/>
        <v>333.25759617828311</v>
      </c>
      <c r="BI295" s="80">
        <v>333.25759617828311</v>
      </c>
      <c r="BK295" s="81">
        <f t="shared" si="273"/>
        <v>88.906355810605078</v>
      </c>
      <c r="BL295" s="81">
        <f t="shared" si="274"/>
        <v>58.1286060149435</v>
      </c>
      <c r="BM295" s="81">
        <f t="shared" si="275"/>
        <v>30.777749795661578</v>
      </c>
      <c r="BN295" s="192">
        <f t="shared" si="276"/>
        <v>0.34618165951179719</v>
      </c>
      <c r="BO295" s="81">
        <f t="shared" si="277"/>
        <v>58</v>
      </c>
      <c r="BP295" s="49">
        <f t="shared" si="278"/>
        <v>20.078536251684238</v>
      </c>
      <c r="BQ295" s="82">
        <f t="shared" si="279"/>
        <v>5497.6296415372735</v>
      </c>
      <c r="BS295" s="193">
        <v>5497.6296415372735</v>
      </c>
    </row>
    <row r="296" spans="1:71" x14ac:dyDescent="0.25">
      <c r="A296">
        <v>17</v>
      </c>
      <c r="B296" s="1" t="s">
        <v>58</v>
      </c>
      <c r="C296" s="15" t="s">
        <v>59</v>
      </c>
      <c r="D296" s="16" t="s">
        <v>60</v>
      </c>
      <c r="E296" s="4" t="s">
        <v>61</v>
      </c>
      <c r="F296" s="33">
        <v>44217</v>
      </c>
      <c r="G296" s="29">
        <v>0.68333333333333324</v>
      </c>
      <c r="H296" s="28">
        <v>23</v>
      </c>
      <c r="I296" s="28">
        <v>43</v>
      </c>
      <c r="J296" s="36" t="s">
        <v>90</v>
      </c>
      <c r="K296" s="10">
        <v>9</v>
      </c>
      <c r="L296" s="47">
        <f t="shared" si="280"/>
        <v>101216.9283556498</v>
      </c>
      <c r="M296" s="10">
        <f t="shared" si="259"/>
        <v>1.0121692835564979</v>
      </c>
      <c r="N296" s="10" t="s">
        <v>15</v>
      </c>
      <c r="O296" s="10">
        <f>_xll.HumidairTdbRHPsi(H296,I296,M296,N296)</f>
        <v>7.5474399750163745E-3</v>
      </c>
      <c r="P296" s="49">
        <f t="shared" si="281"/>
        <v>7.5474399750163741</v>
      </c>
      <c r="Q296" s="31"/>
      <c r="R296" s="58">
        <v>7.5474399750163741</v>
      </c>
      <c r="S296" s="4"/>
      <c r="T296" s="10">
        <v>17</v>
      </c>
      <c r="U296" s="10" t="s">
        <v>144</v>
      </c>
      <c r="V296" s="78">
        <f>_xll.HumidairTdbRHPsi(H296, I296,M296,U296)</f>
        <v>9.7642929994411816</v>
      </c>
      <c r="W296" s="79">
        <v>9.7642929994411816</v>
      </c>
      <c r="X296" s="4"/>
      <c r="Y296" s="10">
        <v>17</v>
      </c>
      <c r="Z296" s="10" t="s">
        <v>145</v>
      </c>
      <c r="AA296" s="78">
        <f>_xll.HumidairTdbRHPsi(H296,I296,M296,Z296)</f>
        <v>42.330613960491199</v>
      </c>
      <c r="AB296" s="81">
        <f t="shared" si="269"/>
        <v>79.330613960491206</v>
      </c>
      <c r="AC296" s="80">
        <v>79.330613960491206</v>
      </c>
      <c r="AE296" s="10" t="s">
        <v>146</v>
      </c>
      <c r="AF296" s="78">
        <f>_xll.HumidairTdbRHPsi(H296,I296,M296,AE296)</f>
        <v>23.139807154626951</v>
      </c>
      <c r="AG296" s="81">
        <f t="shared" si="270"/>
        <v>60.139807154626951</v>
      </c>
      <c r="AH296" s="80">
        <v>60.139807154626951</v>
      </c>
      <c r="AJ296" s="10" t="s">
        <v>150</v>
      </c>
      <c r="AK296" s="84">
        <f>_xll.HumidairTdbRHPsi(H296,I296,M296,AJ296)</f>
        <v>0.83961779360038269</v>
      </c>
      <c r="AL296" s="58">
        <v>0.83961779360038269</v>
      </c>
      <c r="AN296" s="49">
        <f t="shared" si="260"/>
        <v>0.50594913472327285</v>
      </c>
      <c r="AO296" s="81">
        <f t="shared" si="271"/>
        <v>14.917388838196986</v>
      </c>
      <c r="AP296" s="81">
        <f t="shared" si="261"/>
        <v>36.439251816531367</v>
      </c>
      <c r="AR296" s="58">
        <v>0.50594913472327285</v>
      </c>
      <c r="AS296" s="155">
        <v>14.917388838196986</v>
      </c>
      <c r="AT296" s="155">
        <v>36.439251816531367</v>
      </c>
      <c r="AU296" s="140"/>
      <c r="AV296" s="49">
        <f t="shared" si="262"/>
        <v>0.12905086527672716</v>
      </c>
      <c r="AW296" s="162">
        <f t="shared" si="263"/>
        <v>1.2905086527672716E-4</v>
      </c>
      <c r="AX296" s="10">
        <f t="shared" si="264"/>
        <v>60</v>
      </c>
      <c r="AY296" s="55">
        <f t="shared" si="265"/>
        <v>6.4499622465308236E-3</v>
      </c>
      <c r="AZ296" s="55">
        <f t="shared" si="266"/>
        <v>3.7874117713040654E-3</v>
      </c>
      <c r="BB296" s="58">
        <v>0.12905086527672716</v>
      </c>
      <c r="BC296" s="167">
        <v>1.2905086527672716E-4</v>
      </c>
      <c r="BD296" s="168">
        <v>60</v>
      </c>
      <c r="BE296" s="170">
        <v>6.4499622465308236E-3</v>
      </c>
      <c r="BF296" s="171">
        <v>3.7874117713040654E-3</v>
      </c>
      <c r="BH296" s="81">
        <f t="shared" si="272"/>
        <v>333.04998159736698</v>
      </c>
      <c r="BI296" s="80">
        <v>333.04998159736698</v>
      </c>
      <c r="BK296" s="81">
        <f t="shared" si="273"/>
        <v>79.330613960491206</v>
      </c>
      <c r="BL296" s="81">
        <f t="shared" si="274"/>
        <v>60.139807154626951</v>
      </c>
      <c r="BM296" s="81">
        <f t="shared" si="275"/>
        <v>19.190806805864256</v>
      </c>
      <c r="BN296" s="192">
        <f t="shared" si="276"/>
        <v>0.24190921824230174</v>
      </c>
      <c r="BO296" s="81">
        <f t="shared" si="277"/>
        <v>60</v>
      </c>
      <c r="BP296" s="49">
        <f t="shared" si="278"/>
        <v>14.514553094538105</v>
      </c>
      <c r="BQ296" s="82">
        <f t="shared" si="279"/>
        <v>3832.3145121187908</v>
      </c>
      <c r="BS296" s="193">
        <v>3832.3145121187908</v>
      </c>
    </row>
    <row r="297" spans="1:71" x14ac:dyDescent="0.25">
      <c r="A297">
        <v>18</v>
      </c>
      <c r="C297" s="9" t="s">
        <v>62</v>
      </c>
      <c r="D297" s="10" t="s">
        <v>63</v>
      </c>
      <c r="E297" s="11" t="s">
        <v>64</v>
      </c>
      <c r="F297" s="33">
        <v>44217</v>
      </c>
      <c r="G297" s="29">
        <v>0.76111111111111107</v>
      </c>
      <c r="H297" s="28">
        <v>18</v>
      </c>
      <c r="I297" s="28">
        <v>60</v>
      </c>
      <c r="J297" s="28" t="s">
        <v>85</v>
      </c>
      <c r="K297" s="10">
        <v>6</v>
      </c>
      <c r="L297" s="47">
        <f t="shared" si="280"/>
        <v>101252.94186124044</v>
      </c>
      <c r="M297" s="10">
        <f t="shared" si="259"/>
        <v>1.0125294186124043</v>
      </c>
      <c r="N297" s="10" t="s">
        <v>15</v>
      </c>
      <c r="O297" s="10">
        <f>_xll.HumidairTdbRHPsi(H297,I297,M297,N297)</f>
        <v>7.7340477768072565E-3</v>
      </c>
      <c r="P297" s="49">
        <f t="shared" si="281"/>
        <v>7.7340477768072562</v>
      </c>
      <c r="Q297" s="31"/>
      <c r="R297" s="58">
        <v>7.7340477768072562</v>
      </c>
      <c r="S297" s="4"/>
      <c r="T297" s="82">
        <v>18</v>
      </c>
      <c r="U297" s="10" t="s">
        <v>144</v>
      </c>
      <c r="V297" s="78">
        <f>_xll.HumidairTdbRHPsi(H297, I297,M297,U297)</f>
        <v>10.129516238676558</v>
      </c>
      <c r="W297" s="79">
        <v>10.129516238676558</v>
      </c>
      <c r="X297" s="4"/>
      <c r="Y297" s="82">
        <v>18</v>
      </c>
      <c r="Z297" s="10" t="s">
        <v>145</v>
      </c>
      <c r="AA297" s="78">
        <f>_xll.HumidairTdbRHPsi(H297,I297,M297,Z297)</f>
        <v>37.700791296931818</v>
      </c>
      <c r="AB297" s="81">
        <f t="shared" si="269"/>
        <v>74.700791296931811</v>
      </c>
      <c r="AC297" s="80">
        <v>74.700791296931811</v>
      </c>
      <c r="AE297" s="10" t="s">
        <v>146</v>
      </c>
      <c r="AF297" s="78">
        <f>_xll.HumidairTdbRHPsi(H297,I297,M297,AE297)</f>
        <v>18.108253931166381</v>
      </c>
      <c r="AG297" s="81">
        <f t="shared" si="270"/>
        <v>55.108253931166381</v>
      </c>
      <c r="AH297" s="80">
        <v>55.108253931166381</v>
      </c>
      <c r="AJ297" s="10" t="s">
        <v>150</v>
      </c>
      <c r="AK297" s="84">
        <f>_xll.HumidairTdbRHPsi(H297,I297,M297,AJ297)</f>
        <v>0.8251083338067251</v>
      </c>
      <c r="AL297" s="58">
        <v>0.8251083338067251</v>
      </c>
      <c r="AN297" s="49">
        <f t="shared" si="260"/>
        <v>0.51484620717681895</v>
      </c>
      <c r="AO297" s="81">
        <f t="shared" si="271"/>
        <v>15.022054487333675</v>
      </c>
      <c r="AP297" s="81">
        <f t="shared" si="261"/>
        <v>36.694922429317614</v>
      </c>
      <c r="AR297" s="58">
        <v>0.51484620717681895</v>
      </c>
      <c r="AS297" s="155">
        <v>15.022054487333675</v>
      </c>
      <c r="AT297" s="155">
        <v>36.694922429317614</v>
      </c>
      <c r="AU297" s="140"/>
      <c r="AV297" s="49">
        <f t="shared" si="262"/>
        <v>0.12015379282318106</v>
      </c>
      <c r="AW297" s="162">
        <f t="shared" si="263"/>
        <v>1.2015379282318106E-4</v>
      </c>
      <c r="AX297" s="10">
        <f t="shared" si="264"/>
        <v>55</v>
      </c>
      <c r="AY297" s="55">
        <f t="shared" si="265"/>
        <v>5.5048460181940399E-3</v>
      </c>
      <c r="AZ297" s="55">
        <f t="shared" si="266"/>
        <v>3.2324404099788842E-3</v>
      </c>
      <c r="BB297" s="58">
        <v>0.12015379282318106</v>
      </c>
      <c r="BC297" s="167">
        <v>1.2015379282318106E-4</v>
      </c>
      <c r="BD297" s="168">
        <v>55</v>
      </c>
      <c r="BE297" s="170">
        <v>5.5048460181940399E-3</v>
      </c>
      <c r="BF297" s="171">
        <v>3.2324404099788842E-3</v>
      </c>
      <c r="BH297" s="81">
        <f t="shared" si="272"/>
        <v>338.90663716521311</v>
      </c>
      <c r="BI297" s="80">
        <v>338.90663716521311</v>
      </c>
      <c r="BK297" s="81">
        <f t="shared" si="273"/>
        <v>74.700791296931811</v>
      </c>
      <c r="BL297" s="81">
        <f t="shared" si="274"/>
        <v>55.108253931166381</v>
      </c>
      <c r="BM297" s="81">
        <f t="shared" si="275"/>
        <v>19.59253736576543</v>
      </c>
      <c r="BN297" s="192">
        <f t="shared" si="276"/>
        <v>0.26228018506371775</v>
      </c>
      <c r="BO297" s="81">
        <f t="shared" si="277"/>
        <v>55</v>
      </c>
      <c r="BP297" s="49">
        <f t="shared" si="278"/>
        <v>14.425410178504476</v>
      </c>
      <c r="BQ297" s="82">
        <f t="shared" si="279"/>
        <v>4462.6994929192551</v>
      </c>
      <c r="BS297" s="193">
        <v>4462.6994929192551</v>
      </c>
    </row>
    <row r="298" spans="1:71" x14ac:dyDescent="0.25">
      <c r="A298" s="5">
        <v>19</v>
      </c>
      <c r="B298" s="14"/>
      <c r="C298" s="15" t="s">
        <v>65</v>
      </c>
      <c r="D298" s="16" t="s">
        <v>66</v>
      </c>
      <c r="E298" s="4" t="s">
        <v>67</v>
      </c>
      <c r="F298" s="33">
        <v>44217</v>
      </c>
      <c r="G298" s="29">
        <v>0.10277777777777779</v>
      </c>
      <c r="H298" s="28">
        <v>10</v>
      </c>
      <c r="I298" s="28">
        <v>93</v>
      </c>
      <c r="J298" s="28" t="s">
        <v>87</v>
      </c>
      <c r="K298" s="10">
        <v>15</v>
      </c>
      <c r="L298" s="47">
        <f t="shared" si="280"/>
        <v>101144.93246061618</v>
      </c>
      <c r="M298" s="10">
        <f t="shared" si="259"/>
        <v>1.0114493246061618</v>
      </c>
      <c r="N298" s="10" t="s">
        <v>15</v>
      </c>
      <c r="O298" s="10">
        <f>_xll.HumidairTdbRHPsi(H298,I298,M298,N298)</f>
        <v>7.1313042740649649E-3</v>
      </c>
      <c r="P298" s="49">
        <f t="shared" si="281"/>
        <v>7.1313042740649646</v>
      </c>
      <c r="Q298" s="31"/>
      <c r="R298" s="58">
        <v>7.1313042740649646</v>
      </c>
      <c r="S298" s="4"/>
      <c r="T298" s="82">
        <v>19</v>
      </c>
      <c r="U298" s="10" t="s">
        <v>144</v>
      </c>
      <c r="V298" s="78">
        <f>_xll.HumidairTdbRHPsi(H298, I298,M298,U298)</f>
        <v>8.9215762250897228</v>
      </c>
      <c r="W298" s="79">
        <v>8.9215762250897228</v>
      </c>
      <c r="X298" s="4"/>
      <c r="Y298" s="82">
        <v>19</v>
      </c>
      <c r="Z298" s="10" t="s">
        <v>145</v>
      </c>
      <c r="AA298" s="78">
        <f>_xll.HumidairTdbRHPsi(H298,I298,M298,Z298)</f>
        <v>28.018376242838755</v>
      </c>
      <c r="AB298" s="81">
        <f t="shared" si="269"/>
        <v>65.018376242838755</v>
      </c>
      <c r="AC298" s="80">
        <v>65.018376242838755</v>
      </c>
      <c r="AE298" s="10" t="s">
        <v>146</v>
      </c>
      <c r="AF298" s="78">
        <f>_xll.HumidairTdbRHPsi(H298,I298,M298,AE298)</f>
        <v>10.059632502543856</v>
      </c>
      <c r="AG298" s="81">
        <f t="shared" si="270"/>
        <v>47.059632502543856</v>
      </c>
      <c r="AH298" s="80">
        <v>47.059632502543856</v>
      </c>
      <c r="AJ298" s="10" t="s">
        <v>150</v>
      </c>
      <c r="AK298" s="84">
        <f>_xll.HumidairTdbRHPsi(H298,I298,M298,AJ298)</f>
        <v>0.80322517072696198</v>
      </c>
      <c r="AL298" s="58">
        <v>0.80322517072696198</v>
      </c>
      <c r="AN298" s="49">
        <f t="shared" si="260"/>
        <v>0.52887273911735955</v>
      </c>
      <c r="AO298" s="81">
        <f t="shared" si="271"/>
        <v>13.483970238221131</v>
      </c>
      <c r="AP298" s="81">
        <f t="shared" si="261"/>
        <v>32.937787727234813</v>
      </c>
      <c r="AR298" s="58">
        <v>0.52887273911735955</v>
      </c>
      <c r="AS298" s="155">
        <v>13.483970238221131</v>
      </c>
      <c r="AT298" s="155">
        <v>32.937787727234813</v>
      </c>
      <c r="AU298" s="140"/>
      <c r="AV298" s="49">
        <f t="shared" si="262"/>
        <v>0.10612726088264046</v>
      </c>
      <c r="AW298" s="162">
        <f t="shared" si="263"/>
        <v>1.0612726088264046E-4</v>
      </c>
      <c r="AX298" s="10">
        <f t="shared" si="264"/>
        <v>47</v>
      </c>
      <c r="AY298" s="55">
        <f t="shared" si="265"/>
        <v>4.1549883908162562E-3</v>
      </c>
      <c r="AZ298" s="55">
        <f t="shared" si="266"/>
        <v>2.4398052793988584E-3</v>
      </c>
      <c r="BB298" s="58">
        <v>0.10612726088264046</v>
      </c>
      <c r="BC298" s="167">
        <v>1.0612726088264046E-4</v>
      </c>
      <c r="BD298" s="168">
        <v>47</v>
      </c>
      <c r="BE298" s="170">
        <v>4.1549883908162562E-3</v>
      </c>
      <c r="BF298" s="171">
        <v>2.4398052793988584E-3</v>
      </c>
      <c r="BH298" s="81">
        <f t="shared" si="272"/>
        <v>348.13985031662406</v>
      </c>
      <c r="BI298" s="80">
        <v>348.13985031662406</v>
      </c>
      <c r="BK298" s="81">
        <f t="shared" si="273"/>
        <v>65.018376242838755</v>
      </c>
      <c r="BL298" s="81">
        <f t="shared" si="274"/>
        <v>47.059632502543856</v>
      </c>
      <c r="BM298" s="81">
        <f t="shared" si="275"/>
        <v>17.958743740294899</v>
      </c>
      <c r="BN298" s="192">
        <f t="shared" si="276"/>
        <v>0.27621027743326498</v>
      </c>
      <c r="BO298" s="81">
        <f t="shared" si="277"/>
        <v>47</v>
      </c>
      <c r="BP298" s="49">
        <f t="shared" si="278"/>
        <v>12.981883039363455</v>
      </c>
      <c r="BQ298" s="82">
        <f t="shared" si="279"/>
        <v>5320.8684926536635</v>
      </c>
      <c r="BS298" s="193">
        <v>5320.8684926536635</v>
      </c>
    </row>
    <row r="299" spans="1:71" x14ac:dyDescent="0.25">
      <c r="A299" s="5">
        <v>20</v>
      </c>
      <c r="B299" s="17" t="s">
        <v>68</v>
      </c>
      <c r="C299" s="9" t="s">
        <v>69</v>
      </c>
      <c r="D299" s="10" t="s">
        <v>70</v>
      </c>
      <c r="E299" s="18" t="s">
        <v>71</v>
      </c>
      <c r="F299" s="33">
        <v>44217</v>
      </c>
      <c r="G299" s="29">
        <v>0.77013888888888893</v>
      </c>
      <c r="H299" s="28">
        <v>-1</v>
      </c>
      <c r="I299" s="28">
        <v>31</v>
      </c>
      <c r="J299" s="28" t="s">
        <v>90</v>
      </c>
      <c r="K299" s="10">
        <v>10</v>
      </c>
      <c r="L299" s="47">
        <f t="shared" si="280"/>
        <v>101204.92615896827</v>
      </c>
      <c r="M299" s="10">
        <f t="shared" si="259"/>
        <v>1.0120492615896828</v>
      </c>
      <c r="N299" s="10" t="s">
        <v>15</v>
      </c>
      <c r="O299" s="55">
        <f>_xll.HumidairTdbRHPsi(H299,I299,M299,N299)</f>
        <v>1.0781779436488019E-3</v>
      </c>
      <c r="P299" s="49">
        <f t="shared" si="281"/>
        <v>1.0781779436488019</v>
      </c>
      <c r="Q299" s="31"/>
      <c r="R299" s="58">
        <v>1.0781779436488019</v>
      </c>
      <c r="S299" s="4"/>
      <c r="T299" s="82">
        <v>20</v>
      </c>
      <c r="U299" s="10" t="s">
        <v>144</v>
      </c>
      <c r="V299" s="78">
        <f>_xll.HumidairTdbRHPsi(H299, I299,M299,U299)</f>
        <v>-14.418274652497985</v>
      </c>
      <c r="W299" s="80">
        <v>-14.418274652497985</v>
      </c>
      <c r="X299" s="4"/>
      <c r="Y299" s="82">
        <v>20</v>
      </c>
      <c r="Z299" s="10" t="s">
        <v>145</v>
      </c>
      <c r="AA299" s="78">
        <f>_xll.HumidairTdbRHPsi(H299,I299,M299,Z299)</f>
        <v>1.6880928069730692</v>
      </c>
      <c r="AB299" s="81">
        <f t="shared" si="269"/>
        <v>38.688092806973067</v>
      </c>
      <c r="AC299" s="80">
        <v>38.688092806973067</v>
      </c>
      <c r="AE299" s="10" t="s">
        <v>146</v>
      </c>
      <c r="AF299" s="78">
        <f>_xll.HumidairTdbRHPsi(H299,I299,M299,AE299)</f>
        <v>-1.0054894114407915</v>
      </c>
      <c r="AG299" s="81">
        <f t="shared" si="270"/>
        <v>35.994510588559208</v>
      </c>
      <c r="AH299" s="80">
        <v>35.994510588559208</v>
      </c>
      <c r="AJ299" s="10" t="s">
        <v>150</v>
      </c>
      <c r="AK299" s="84">
        <f>_xll.HumidairTdbRHPsi(H299,I299,M299,AJ299)</f>
        <v>0.77145887703841975</v>
      </c>
      <c r="AL299" s="58">
        <v>0.77145887703841975</v>
      </c>
      <c r="AN299" s="49">
        <f t="shared" si="260"/>
        <v>0.55065008494188517</v>
      </c>
      <c r="AO299" s="81">
        <f t="shared" si="271"/>
        <v>1.9580092206152866</v>
      </c>
      <c r="AP299" s="81">
        <f t="shared" si="261"/>
        <v>4.7829008027462798</v>
      </c>
      <c r="AR299" s="58">
        <v>0.55065008494188517</v>
      </c>
      <c r="AS299" s="155">
        <v>1.9580092206152866</v>
      </c>
      <c r="AT299" s="155">
        <v>4.7829008027462798</v>
      </c>
      <c r="AU299" s="140"/>
      <c r="AV299" s="49">
        <f t="shared" si="262"/>
        <v>8.4349915058114844E-2</v>
      </c>
      <c r="AW299" s="162">
        <f t="shared" si="263"/>
        <v>8.434991505811484E-5</v>
      </c>
      <c r="AX299" s="10">
        <f t="shared" si="264"/>
        <v>36</v>
      </c>
      <c r="AY299" s="55">
        <f t="shared" si="265"/>
        <v>2.5294852527627475E-3</v>
      </c>
      <c r="AZ299" s="55">
        <f t="shared" si="266"/>
        <v>1.4853113639241031E-3</v>
      </c>
      <c r="BB299" s="58">
        <v>8.4349915058114844E-2</v>
      </c>
      <c r="BC299" s="167">
        <v>8.434991505811484E-5</v>
      </c>
      <c r="BD299" s="168">
        <v>36</v>
      </c>
      <c r="BE299" s="170">
        <v>2.5294852527627475E-3</v>
      </c>
      <c r="BF299" s="171">
        <v>1.4853113639241031E-3</v>
      </c>
      <c r="BH299" s="81">
        <f t="shared" si="272"/>
        <v>362.47517402473699</v>
      </c>
      <c r="BI299" s="80">
        <v>362.47517402473699</v>
      </c>
      <c r="BK299" s="78">
        <f t="shared" ref="BK299" si="282">+AB299</f>
        <v>38.688092806973067</v>
      </c>
      <c r="BL299" s="81">
        <f t="shared" ref="BL299" si="283">+AG299</f>
        <v>35.994510588559208</v>
      </c>
      <c r="BM299" s="81">
        <f t="shared" ref="BM299" si="284">+BK299-BL299</f>
        <v>2.6935822184138587</v>
      </c>
      <c r="BN299" s="192">
        <f t="shared" ref="BN299" si="285">+BM299/BK299</f>
        <v>6.9623029283272728E-2</v>
      </c>
      <c r="BO299" s="81">
        <v>0</v>
      </c>
      <c r="BP299" s="49">
        <f t="shared" ref="BP299" si="286">+BN299*BO299*-1</f>
        <v>0</v>
      </c>
      <c r="BQ299" s="82"/>
      <c r="BS299" s="9"/>
    </row>
    <row r="301" spans="1:71" x14ac:dyDescent="0.25">
      <c r="AN301" s="4" t="s">
        <v>230</v>
      </c>
    </row>
    <row r="302" spans="1:71" x14ac:dyDescent="0.25">
      <c r="AH302" s="197"/>
      <c r="AK302" s="86" t="s">
        <v>162</v>
      </c>
      <c r="AN302" s="4">
        <v>418.99</v>
      </c>
      <c r="AO302" s="139" t="s">
        <v>231</v>
      </c>
      <c r="AX302" s="4" t="s">
        <v>192</v>
      </c>
      <c r="AY302" s="27" t="s">
        <v>271</v>
      </c>
      <c r="AZ302" s="86" t="s">
        <v>162</v>
      </c>
      <c r="BD302" s="70" t="s">
        <v>192</v>
      </c>
      <c r="BE302" s="70" t="s">
        <v>271</v>
      </c>
      <c r="BF302" s="83"/>
      <c r="BH302" s="27" t="s">
        <v>233</v>
      </c>
      <c r="BI302" s="70" t="s">
        <v>233</v>
      </c>
      <c r="BK302" s="86" t="s">
        <v>162</v>
      </c>
      <c r="BQ302" s="4"/>
      <c r="BS302" s="57"/>
    </row>
    <row r="303" spans="1:71" x14ac:dyDescent="0.25">
      <c r="K303" s="2"/>
      <c r="M303" s="30"/>
      <c r="N303" s="25"/>
      <c r="O303" s="25"/>
      <c r="R303" s="66" t="s">
        <v>171</v>
      </c>
      <c r="T303" s="69"/>
      <c r="Y303" t="s">
        <v>166</v>
      </c>
      <c r="AB303" s="4"/>
      <c r="AC303" s="57"/>
      <c r="AG303" s="4"/>
      <c r="AH303" s="57"/>
      <c r="AK303" s="26" t="s">
        <v>192</v>
      </c>
      <c r="AL303" s="70" t="s">
        <v>192</v>
      </c>
      <c r="AN303" s="4">
        <v>1.8343950000000001E-2</v>
      </c>
      <c r="AO303" s="139" t="s">
        <v>176</v>
      </c>
      <c r="AX303" s="4" t="s">
        <v>193</v>
      </c>
      <c r="AY303" s="16" t="s">
        <v>193</v>
      </c>
      <c r="BD303" s="72" t="s">
        <v>193</v>
      </c>
      <c r="BE303" s="72" t="s">
        <v>193</v>
      </c>
      <c r="BF303" s="83"/>
      <c r="BH303" s="16" t="s">
        <v>255</v>
      </c>
      <c r="BI303" s="72" t="s">
        <v>255</v>
      </c>
      <c r="BQ303" s="27" t="s">
        <v>306</v>
      </c>
      <c r="BS303" s="70" t="s">
        <v>306</v>
      </c>
    </row>
    <row r="304" spans="1:71" x14ac:dyDescent="0.25">
      <c r="B304" s="45">
        <v>44613</v>
      </c>
      <c r="C304" s="2"/>
      <c r="G304" s="51"/>
      <c r="I304" s="52"/>
      <c r="P304" s="27" t="s">
        <v>72</v>
      </c>
      <c r="R304" s="203" t="s">
        <v>72</v>
      </c>
      <c r="T304" t="s">
        <v>140</v>
      </c>
      <c r="AA304" s="71" t="s">
        <v>134</v>
      </c>
      <c r="AB304" s="27" t="s">
        <v>300</v>
      </c>
      <c r="AC304" s="70" t="s">
        <v>300</v>
      </c>
      <c r="AF304" s="71" t="s">
        <v>134</v>
      </c>
      <c r="AG304" s="27" t="s">
        <v>314</v>
      </c>
      <c r="AH304" s="70" t="s">
        <v>314</v>
      </c>
      <c r="AK304" s="15" t="s">
        <v>147</v>
      </c>
      <c r="AL304" s="72" t="s">
        <v>147</v>
      </c>
      <c r="AN304" s="4">
        <v>1.8405999999999999E-2</v>
      </c>
      <c r="AO304" t="s">
        <v>232</v>
      </c>
      <c r="AQ304" t="s">
        <v>187</v>
      </c>
      <c r="AS304" s="176" t="s">
        <v>315</v>
      </c>
      <c r="AT304" s="87" t="s">
        <v>317</v>
      </c>
      <c r="AV304" s="163" t="s">
        <v>270</v>
      </c>
      <c r="AX304" s="4">
        <v>0.83299999999999996</v>
      </c>
      <c r="AY304" s="16" t="s">
        <v>272</v>
      </c>
      <c r="AZ304" s="27" t="s">
        <v>274</v>
      </c>
      <c r="BB304" s="70" t="s">
        <v>270</v>
      </c>
      <c r="BD304" s="72">
        <v>0.83299999999999996</v>
      </c>
      <c r="BE304" s="72" t="s">
        <v>272</v>
      </c>
      <c r="BF304" s="70" t="s">
        <v>274</v>
      </c>
      <c r="BH304" s="16" t="s">
        <v>282</v>
      </c>
      <c r="BI304" s="72" t="s">
        <v>282</v>
      </c>
      <c r="BK304" s="27" t="s">
        <v>297</v>
      </c>
      <c r="BL304" s="27" t="s">
        <v>299</v>
      </c>
      <c r="BM304" s="26" t="s">
        <v>301</v>
      </c>
      <c r="BO304" s="163" t="s">
        <v>304</v>
      </c>
      <c r="BQ304" s="16" t="s">
        <v>291</v>
      </c>
      <c r="BS304" s="72" t="s">
        <v>291</v>
      </c>
    </row>
    <row r="305" spans="1:71" x14ac:dyDescent="0.25">
      <c r="G305" s="4" t="s">
        <v>0</v>
      </c>
      <c r="K305" s="4" t="s">
        <v>1</v>
      </c>
      <c r="L305" s="4" t="s">
        <v>2</v>
      </c>
      <c r="O305" s="4" t="s">
        <v>72</v>
      </c>
      <c r="P305" s="16" t="s">
        <v>81</v>
      </c>
      <c r="Q305" s="4"/>
      <c r="R305" s="72" t="s">
        <v>81</v>
      </c>
      <c r="V305" s="26" t="s">
        <v>310</v>
      </c>
      <c r="W305" s="87" t="s">
        <v>310</v>
      </c>
      <c r="AA305" s="73" t="s">
        <v>141</v>
      </c>
      <c r="AB305" s="16" t="s">
        <v>141</v>
      </c>
      <c r="AC305" s="72" t="s">
        <v>141</v>
      </c>
      <c r="AF305" s="42" t="s">
        <v>141</v>
      </c>
      <c r="AG305" s="16" t="s">
        <v>141</v>
      </c>
      <c r="AH305" s="72" t="s">
        <v>141</v>
      </c>
      <c r="AK305" s="15" t="s">
        <v>148</v>
      </c>
      <c r="AL305" s="72" t="s">
        <v>148</v>
      </c>
      <c r="AN305" s="27" t="s">
        <v>235</v>
      </c>
      <c r="AO305" s="27" t="s">
        <v>233</v>
      </c>
      <c r="AP305" s="27" t="s">
        <v>233</v>
      </c>
      <c r="AR305" s="176" t="s">
        <v>320</v>
      </c>
      <c r="AS305" s="199" t="s">
        <v>316</v>
      </c>
      <c r="AT305" s="72" t="s">
        <v>318</v>
      </c>
      <c r="AV305" s="73" t="s">
        <v>275</v>
      </c>
      <c r="AW305" s="163" t="s">
        <v>270</v>
      </c>
      <c r="AY305" s="16" t="s">
        <v>251</v>
      </c>
      <c r="AZ305" s="16">
        <v>1.7030000000000001</v>
      </c>
      <c r="BB305" s="72" t="s">
        <v>275</v>
      </c>
      <c r="BC305" s="176" t="s">
        <v>270</v>
      </c>
      <c r="BD305" s="74"/>
      <c r="BE305" s="72" t="s">
        <v>251</v>
      </c>
      <c r="BF305" s="72">
        <v>1.7030000000000001</v>
      </c>
      <c r="BH305" s="173" t="s">
        <v>187</v>
      </c>
      <c r="BI305" s="72" t="s">
        <v>187</v>
      </c>
      <c r="BK305" s="16" t="s">
        <v>298</v>
      </c>
      <c r="BL305" s="16" t="s">
        <v>298</v>
      </c>
      <c r="BM305" s="16" t="s">
        <v>300</v>
      </c>
      <c r="BO305" s="16" t="s">
        <v>303</v>
      </c>
      <c r="BP305" s="161" t="s">
        <v>296</v>
      </c>
      <c r="BQ305" s="16" t="s">
        <v>292</v>
      </c>
      <c r="BS305" s="72" t="s">
        <v>292</v>
      </c>
    </row>
    <row r="306" spans="1:71" ht="17.25" x14ac:dyDescent="0.25">
      <c r="A306" s="5"/>
      <c r="B306" s="5"/>
      <c r="C306" t="s">
        <v>3</v>
      </c>
      <c r="D306" t="s">
        <v>4</v>
      </c>
      <c r="E306" t="s">
        <v>5</v>
      </c>
      <c r="F306" s="4" t="s">
        <v>6</v>
      </c>
      <c r="G306" s="6" t="s">
        <v>7</v>
      </c>
      <c r="H306" s="4" t="s">
        <v>98</v>
      </c>
      <c r="I306" s="4" t="s">
        <v>99</v>
      </c>
      <c r="J306" s="4" t="s">
        <v>74</v>
      </c>
      <c r="K306" s="7" t="s">
        <v>163</v>
      </c>
      <c r="L306" s="7" t="s">
        <v>8</v>
      </c>
      <c r="M306" s="4" t="s">
        <v>9</v>
      </c>
      <c r="N306" s="4" t="s">
        <v>10</v>
      </c>
      <c r="O306" s="4" t="s">
        <v>11</v>
      </c>
      <c r="P306" s="13" t="s">
        <v>82</v>
      </c>
      <c r="Q306" s="4"/>
      <c r="R306" s="77" t="s">
        <v>82</v>
      </c>
      <c r="S306" s="4"/>
      <c r="T306" s="10" t="s">
        <v>142</v>
      </c>
      <c r="U306" s="18" t="s">
        <v>10</v>
      </c>
      <c r="V306" s="13" t="s">
        <v>273</v>
      </c>
      <c r="W306" s="77" t="s">
        <v>311</v>
      </c>
      <c r="X306" s="4"/>
      <c r="Y306" s="10" t="s">
        <v>142</v>
      </c>
      <c r="Z306" s="18" t="s">
        <v>10</v>
      </c>
      <c r="AA306" s="76" t="s">
        <v>143</v>
      </c>
      <c r="AB306" s="13" t="s">
        <v>312</v>
      </c>
      <c r="AC306" s="72" t="s">
        <v>312</v>
      </c>
      <c r="AE306" s="9" t="s">
        <v>10</v>
      </c>
      <c r="AF306" s="76" t="s">
        <v>82</v>
      </c>
      <c r="AG306" s="13" t="s">
        <v>313</v>
      </c>
      <c r="AH306" s="77" t="s">
        <v>313</v>
      </c>
      <c r="AJ306" s="32" t="s">
        <v>10</v>
      </c>
      <c r="AK306" s="12" t="s">
        <v>149</v>
      </c>
      <c r="AL306" s="77" t="s">
        <v>149</v>
      </c>
      <c r="AN306" s="13" t="s">
        <v>230</v>
      </c>
      <c r="AO306" s="13" t="s">
        <v>177</v>
      </c>
      <c r="AP306" s="13" t="s">
        <v>234</v>
      </c>
      <c r="AR306" s="177" t="s">
        <v>321</v>
      </c>
      <c r="AS306" s="177" t="s">
        <v>232</v>
      </c>
      <c r="AT306" s="77" t="s">
        <v>319</v>
      </c>
      <c r="AV306" s="166" t="s">
        <v>149</v>
      </c>
      <c r="AW306" s="13" t="s">
        <v>276</v>
      </c>
      <c r="AX306" s="164" t="s">
        <v>186</v>
      </c>
      <c r="AY306" s="13" t="s">
        <v>82</v>
      </c>
      <c r="AZ306" s="13" t="s">
        <v>273</v>
      </c>
      <c r="BB306" s="77" t="s">
        <v>149</v>
      </c>
      <c r="BC306" s="177" t="s">
        <v>276</v>
      </c>
      <c r="BD306" s="77" t="s">
        <v>186</v>
      </c>
      <c r="BE306" s="77" t="s">
        <v>82</v>
      </c>
      <c r="BF306" s="77" t="s">
        <v>277</v>
      </c>
      <c r="BH306" s="13">
        <v>418</v>
      </c>
      <c r="BI306" s="77">
        <v>418</v>
      </c>
      <c r="BK306" s="13" t="s">
        <v>250</v>
      </c>
      <c r="BL306" s="13" t="s">
        <v>250</v>
      </c>
      <c r="BM306" s="13" t="s">
        <v>295</v>
      </c>
      <c r="BN306" s="18" t="s">
        <v>302</v>
      </c>
      <c r="BO306" s="13" t="s">
        <v>189</v>
      </c>
      <c r="BP306" s="76" t="s">
        <v>277</v>
      </c>
      <c r="BQ306" s="13" t="s">
        <v>305</v>
      </c>
      <c r="BS306" s="77" t="s">
        <v>305</v>
      </c>
    </row>
    <row r="307" spans="1:71" x14ac:dyDescent="0.25">
      <c r="A307">
        <v>1</v>
      </c>
      <c r="C307" s="9" t="s">
        <v>12</v>
      </c>
      <c r="D307" s="10" t="s">
        <v>13</v>
      </c>
      <c r="E307" s="32" t="s">
        <v>14</v>
      </c>
      <c r="F307" s="33">
        <v>44248</v>
      </c>
      <c r="G307" s="29">
        <v>0.30208333333333331</v>
      </c>
      <c r="H307" s="46">
        <v>-30</v>
      </c>
      <c r="I307" s="28">
        <v>69</v>
      </c>
      <c r="J307" s="28" t="s">
        <v>85</v>
      </c>
      <c r="K307" s="10">
        <v>32</v>
      </c>
      <c r="L307" s="47">
        <f>+((101325*(1-(2.25577*10^-5)*(K307))^5.25588))</f>
        <v>100941.16925190832</v>
      </c>
      <c r="M307" s="10">
        <f t="shared" ref="M307:M326" si="287">+L307/100000</f>
        <v>1.0094116925190832</v>
      </c>
      <c r="N307" s="10" t="s">
        <v>15</v>
      </c>
      <c r="O307" s="10">
        <f>_xll.HumidairTdbRHPsi(H307,I307,M307,N307)</f>
        <v>1.6243335147298973E-4</v>
      </c>
      <c r="P307" s="49">
        <f>+O307*1000</f>
        <v>0.16243335147298973</v>
      </c>
      <c r="Q307" s="31"/>
      <c r="R307" s="58">
        <v>0.16243335147298973</v>
      </c>
      <c r="S307" s="4"/>
      <c r="T307" s="10">
        <v>1</v>
      </c>
      <c r="U307" s="10" t="s">
        <v>144</v>
      </c>
      <c r="V307" s="78">
        <f>_xll.HumidairTdbRHPsi(H307, I307,M307,U307)</f>
        <v>-33.516288695964704</v>
      </c>
      <c r="W307" s="79">
        <v>-33.516288695964704</v>
      </c>
      <c r="X307" s="4"/>
      <c r="Y307" s="10">
        <v>1</v>
      </c>
      <c r="Z307" s="10" t="s">
        <v>145</v>
      </c>
      <c r="AA307" s="78">
        <f>_xll.HumidairTdbRHPsi(H307,I307,M307,Z307)</f>
        <v>-29.773402820556139</v>
      </c>
      <c r="AB307" s="78">
        <f>+AA307+37</f>
        <v>7.2265971794438606</v>
      </c>
      <c r="AC307" s="80">
        <v>7.2265971794438606</v>
      </c>
      <c r="AE307" s="10" t="s">
        <v>146</v>
      </c>
      <c r="AF307" s="78">
        <f>_xll.HumidairTdbRHPsi(H307,I307,M307,AE307)</f>
        <v>-30.170442074557172</v>
      </c>
      <c r="AG307" s="78">
        <f>+AF307+37</f>
        <v>6.8295579254428276</v>
      </c>
      <c r="AH307" s="79">
        <v>6.8295579254428276</v>
      </c>
      <c r="AJ307" s="10" t="s">
        <v>150</v>
      </c>
      <c r="AK307" s="84">
        <f>_xll.HumidairTdbRHPsi(H307,I307,M307,AJ307)</f>
        <v>0.69072091480517117</v>
      </c>
      <c r="AL307" s="58">
        <v>0.69072091480517117</v>
      </c>
      <c r="AN307" s="49">
        <f t="shared" ref="AN307:AN326" si="288">+$AN$6*($AL$57/AL307)</f>
        <v>0.61501525010314739</v>
      </c>
      <c r="AO307" s="81">
        <f>+R307/AN307</f>
        <v>0.26411272150690118</v>
      </c>
      <c r="AP307" s="81">
        <f t="shared" ref="AP307:AP326" si="289">+AO307*(44.0059/18.015)</f>
        <v>0.64515781356428203</v>
      </c>
      <c r="AR307" s="58">
        <v>0.61501525010314739</v>
      </c>
      <c r="AS307" s="155">
        <v>0.26411272150690118</v>
      </c>
      <c r="AT307" s="155">
        <v>0.64515781356428203</v>
      </c>
      <c r="AU307" s="140"/>
      <c r="AV307" s="84">
        <f t="shared" ref="AV307:AV326" si="290">+$AN$57-AN307</f>
        <v>1.9984749896852616E-2</v>
      </c>
      <c r="AW307" s="165">
        <f t="shared" ref="AW307:AW326" si="291">+AV307/1000</f>
        <v>1.9984749896852616E-5</v>
      </c>
      <c r="AX307" s="10">
        <f t="shared" ref="AX307:AX326" si="292">37+H307</f>
        <v>7</v>
      </c>
      <c r="AY307" s="55">
        <f t="shared" ref="AY307:AY326" si="293">+AW307*AX307*$AX$9</f>
        <v>1.165310766485476E-4</v>
      </c>
      <c r="AZ307" s="55">
        <f t="shared" ref="AZ307:AZ326" si="294">+AY307/1.703</f>
        <v>6.8426938724925183E-5</v>
      </c>
      <c r="BB307" s="58">
        <v>1.9984749896852616E-2</v>
      </c>
      <c r="BC307" s="167">
        <v>1.9984749896852616E-5</v>
      </c>
      <c r="BD307" s="168">
        <v>7</v>
      </c>
      <c r="BE307" s="168">
        <v>1.165310766485476E-4</v>
      </c>
      <c r="BF307" s="169">
        <v>6.8426938724925183E-5</v>
      </c>
      <c r="BH307" s="81">
        <f>418*($AL$57/AL307)</f>
        <v>404.8446843198671</v>
      </c>
      <c r="BI307" s="80">
        <v>404.8446843198671</v>
      </c>
      <c r="BK307" s="81">
        <f>+AB307</f>
        <v>7.2265971794438606</v>
      </c>
      <c r="BL307" s="81">
        <f>+AG307</f>
        <v>6.8295579254428276</v>
      </c>
      <c r="BM307" s="81">
        <f>+BK307-BL307</f>
        <v>0.39703925400103302</v>
      </c>
      <c r="BN307" s="192">
        <f>+BM307/BK307</f>
        <v>5.4941384463827007E-2</v>
      </c>
      <c r="BO307" s="81">
        <f>+H307-$H$57</f>
        <v>7</v>
      </c>
      <c r="BP307" s="49">
        <f>+BN307*BO307</f>
        <v>0.38458969124678904</v>
      </c>
      <c r="BQ307" s="82">
        <f>+BP307/AZ307</f>
        <v>5620.4427439437459</v>
      </c>
      <c r="BS307" s="193">
        <v>5620.4427439437459</v>
      </c>
    </row>
    <row r="308" spans="1:71" x14ac:dyDescent="0.25">
      <c r="A308">
        <v>2</v>
      </c>
      <c r="B308" s="1" t="s">
        <v>16</v>
      </c>
      <c r="C308" s="12" t="s">
        <v>17</v>
      </c>
      <c r="D308" s="13" t="s">
        <v>18</v>
      </c>
      <c r="E308" s="11" t="s">
        <v>19</v>
      </c>
      <c r="F308" s="33">
        <v>44248</v>
      </c>
      <c r="G308" s="29">
        <v>0.8847222222222223</v>
      </c>
      <c r="H308" s="28">
        <v>-22</v>
      </c>
      <c r="I308" s="28">
        <v>72</v>
      </c>
      <c r="J308" s="28" t="s">
        <v>75</v>
      </c>
      <c r="K308" s="10">
        <v>41</v>
      </c>
      <c r="L308" s="47">
        <f t="shared" ref="L308:L316" si="295">+((101325*(1-(2.25577*10^-5)*(K308))^5.25588))</f>
        <v>100833.42925724134</v>
      </c>
      <c r="M308" s="10">
        <f t="shared" si="287"/>
        <v>1.0083342925724135</v>
      </c>
      <c r="N308" s="10" t="s">
        <v>15</v>
      </c>
      <c r="O308" s="10">
        <f>_xll.HumidairTdbRHPsi(H308,I308,M308,N308)</f>
        <v>3.798351992737239E-4</v>
      </c>
      <c r="P308" s="49">
        <f t="shared" ref="P308:P316" si="296">+O308*1000</f>
        <v>0.37983519927372389</v>
      </c>
      <c r="Q308" s="31"/>
      <c r="R308" s="58">
        <v>0.37983519927372389</v>
      </c>
      <c r="S308" s="4"/>
      <c r="T308" s="10">
        <v>2</v>
      </c>
      <c r="U308" s="10" t="s">
        <v>144</v>
      </c>
      <c r="V308" s="78">
        <f>_xll.HumidairTdbRHPsi(H308, I308,M308,U308)</f>
        <v>-25.325402965417851</v>
      </c>
      <c r="W308" s="79">
        <v>-25.325402965417851</v>
      </c>
      <c r="X308" s="4"/>
      <c r="Y308" s="10">
        <v>2</v>
      </c>
      <c r="Z308" s="10" t="s">
        <v>145</v>
      </c>
      <c r="AA308" s="78">
        <f>_xll.HumidairTdbRHPsi(H308,I308,M308,Z308)</f>
        <v>-21.190405269080443</v>
      </c>
      <c r="AB308" s="81">
        <f t="shared" ref="AB308:AB326" si="297">+AA308+37</f>
        <v>15.809594730919557</v>
      </c>
      <c r="AC308" s="80">
        <v>15.809594730919557</v>
      </c>
      <c r="AE308" s="10" t="s">
        <v>146</v>
      </c>
      <c r="AF308" s="78">
        <f>_xll.HumidairTdbRHPsi(H308,I308,M308,AE308)</f>
        <v>-22.124492057616852</v>
      </c>
      <c r="AG308" s="81">
        <f t="shared" ref="AG308:AG326" si="298">+AF308+37</f>
        <v>14.875507942383148</v>
      </c>
      <c r="AH308" s="80">
        <v>14.875507942383148</v>
      </c>
      <c r="AJ308" s="10" t="s">
        <v>150</v>
      </c>
      <c r="AK308" s="84">
        <f>_xll.HumidairTdbRHPsi(H308,I308,M308,AJ308)</f>
        <v>0.71432104511354755</v>
      </c>
      <c r="AL308" s="58">
        <v>0.71432104511354755</v>
      </c>
      <c r="AN308" s="49">
        <f t="shared" si="288"/>
        <v>0.59469603909380953</v>
      </c>
      <c r="AO308" s="81">
        <f t="shared" ref="AO308:AO326" si="299">+R308/AN308</f>
        <v>0.63870477404307602</v>
      </c>
      <c r="AP308" s="81">
        <f t="shared" si="289"/>
        <v>1.5601875335033135</v>
      </c>
      <c r="AR308" s="58">
        <v>0.59469603909380953</v>
      </c>
      <c r="AS308" s="155">
        <v>0.63870477404307602</v>
      </c>
      <c r="AT308" s="155">
        <v>1.5601875335033135</v>
      </c>
      <c r="AU308" s="140"/>
      <c r="AV308" s="49">
        <f t="shared" si="290"/>
        <v>4.0303960906190484E-2</v>
      </c>
      <c r="AW308" s="162">
        <f t="shared" si="291"/>
        <v>4.0303960906190483E-5</v>
      </c>
      <c r="AX308" s="10">
        <f t="shared" si="292"/>
        <v>15</v>
      </c>
      <c r="AY308" s="55">
        <f t="shared" si="293"/>
        <v>5.0359799152285009E-4</v>
      </c>
      <c r="AZ308" s="55">
        <f t="shared" si="294"/>
        <v>2.9571226748258958E-4</v>
      </c>
      <c r="BB308" s="58">
        <v>4.0303960906190484E-2</v>
      </c>
      <c r="BC308" s="167">
        <v>4.0303960906190483E-5</v>
      </c>
      <c r="BD308" s="168">
        <v>15</v>
      </c>
      <c r="BE308" s="170">
        <v>5.0359799152285009E-4</v>
      </c>
      <c r="BF308" s="169">
        <v>2.9571226748258958E-4</v>
      </c>
      <c r="BH308" s="81">
        <f t="shared" ref="BH308:BH326" si="300">418*($AL$57/AL308)</f>
        <v>391.46920368694862</v>
      </c>
      <c r="BI308" s="80">
        <v>391.46920368694862</v>
      </c>
      <c r="BK308" s="81">
        <f t="shared" ref="BK308:BK325" si="301">+AB308</f>
        <v>15.809594730919557</v>
      </c>
      <c r="BL308" s="81">
        <f t="shared" ref="BL308:BL325" si="302">+AG308</f>
        <v>14.875507942383148</v>
      </c>
      <c r="BM308" s="81">
        <f t="shared" ref="BM308:BM325" si="303">+BK308-BL308</f>
        <v>0.93408678853640836</v>
      </c>
      <c r="BN308" s="192">
        <f t="shared" ref="BN308:BN325" si="304">+BM308/BK308</f>
        <v>5.9083537841078976E-2</v>
      </c>
      <c r="BO308" s="81">
        <f t="shared" ref="BO308:BO325" si="305">+H308-$H$57</f>
        <v>15</v>
      </c>
      <c r="BP308" s="49">
        <f t="shared" ref="BP308:BP325" si="306">+BN308*BO308</f>
        <v>0.88625306761618461</v>
      </c>
      <c r="BQ308" s="82">
        <f t="shared" ref="BQ308:BQ325" si="307">+BP308/AZ308</f>
        <v>2997.0115043278138</v>
      </c>
      <c r="BS308" s="193">
        <v>2997.0115043278138</v>
      </c>
    </row>
    <row r="309" spans="1:71" x14ac:dyDescent="0.25">
      <c r="A309">
        <v>3</v>
      </c>
      <c r="C309" s="12" t="s">
        <v>20</v>
      </c>
      <c r="D309" s="10" t="s">
        <v>21</v>
      </c>
      <c r="E309" s="11" t="s">
        <v>22</v>
      </c>
      <c r="F309" s="33">
        <v>44248</v>
      </c>
      <c r="G309" s="29">
        <v>0.55277777777777781</v>
      </c>
      <c r="H309" s="28">
        <v>-5</v>
      </c>
      <c r="I309" s="28">
        <v>92</v>
      </c>
      <c r="J309" s="28" t="s">
        <v>133</v>
      </c>
      <c r="K309" s="10">
        <v>15</v>
      </c>
      <c r="L309" s="47">
        <f t="shared" si="295"/>
        <v>101144.93246061618</v>
      </c>
      <c r="M309" s="10">
        <f t="shared" si="287"/>
        <v>1.0114493246061618</v>
      </c>
      <c r="N309" s="10" t="s">
        <v>15</v>
      </c>
      <c r="O309" s="10">
        <f>_xll.HumidairTdbRHPsi(H309,I309,M309,N309)</f>
        <v>2.2905865946183349E-3</v>
      </c>
      <c r="P309" s="49">
        <f t="shared" si="296"/>
        <v>2.2905865946183348</v>
      </c>
      <c r="Q309" s="31"/>
      <c r="R309" s="58">
        <v>2.2905865946183348</v>
      </c>
      <c r="S309" s="4"/>
      <c r="T309" s="10">
        <v>3</v>
      </c>
      <c r="U309" s="10" t="s">
        <v>144</v>
      </c>
      <c r="V309" s="78">
        <f>_xll.HumidairTdbRHPsi(H309, I309,M309,U309)</f>
        <v>-5.9720754139348173</v>
      </c>
      <c r="W309" s="79">
        <v>-5.9720754139348173</v>
      </c>
      <c r="X309" s="4"/>
      <c r="Y309" s="10">
        <v>3</v>
      </c>
      <c r="Z309" s="10" t="s">
        <v>145</v>
      </c>
      <c r="AA309" s="78">
        <f>_xll.HumidairTdbRHPsi(H309,I309,M309,Z309)</f>
        <v>0.67658861008070226</v>
      </c>
      <c r="AB309" s="81">
        <f t="shared" si="297"/>
        <v>37.676588610080699</v>
      </c>
      <c r="AC309" s="80">
        <v>37.676588610080699</v>
      </c>
      <c r="AE309" s="10" t="s">
        <v>146</v>
      </c>
      <c r="AF309" s="78">
        <f>_xll.HumidairTdbRHPsi(H309,I309,M309,AE309)</f>
        <v>-5.0284713746729954</v>
      </c>
      <c r="AG309" s="81">
        <f t="shared" si="298"/>
        <v>31.971528625327004</v>
      </c>
      <c r="AH309" s="80">
        <v>31.971528625327004</v>
      </c>
      <c r="AJ309" s="10" t="s">
        <v>150</v>
      </c>
      <c r="AK309" s="84">
        <f>_xll.HumidairTdbRHPsi(H309,I309,M309,AJ309)</f>
        <v>0.76052961189286228</v>
      </c>
      <c r="AL309" s="58">
        <v>0.76052961189286228</v>
      </c>
      <c r="AN309" s="49">
        <f t="shared" si="288"/>
        <v>0.55856325582523181</v>
      </c>
      <c r="AO309" s="81">
        <f t="shared" si="299"/>
        <v>4.1008544166303587</v>
      </c>
      <c r="AP309" s="81">
        <f t="shared" si="289"/>
        <v>10.017307209147592</v>
      </c>
      <c r="AR309" s="58">
        <v>0.55856325582523181</v>
      </c>
      <c r="AS309" s="155">
        <v>4.1008544166303587</v>
      </c>
      <c r="AT309" s="155">
        <v>10.017307209147592</v>
      </c>
      <c r="AU309" s="140"/>
      <c r="AV309" s="49">
        <f t="shared" si="290"/>
        <v>7.6436744174768201E-2</v>
      </c>
      <c r="AW309" s="162">
        <f t="shared" si="291"/>
        <v>7.6436744174768206E-5</v>
      </c>
      <c r="AX309" s="10">
        <f t="shared" si="292"/>
        <v>32</v>
      </c>
      <c r="AY309" s="55">
        <f t="shared" si="293"/>
        <v>2.0374978527226213E-3</v>
      </c>
      <c r="AZ309" s="55">
        <f t="shared" si="294"/>
        <v>1.1964168248518035E-3</v>
      </c>
      <c r="BB309" s="58">
        <v>7.6436744174768201E-2</v>
      </c>
      <c r="BC309" s="167">
        <v>7.6436744174768206E-5</v>
      </c>
      <c r="BD309" s="168">
        <v>32</v>
      </c>
      <c r="BE309" s="170">
        <v>2.0374978527226213E-3</v>
      </c>
      <c r="BF309" s="171">
        <v>1.1964168248518035E-3</v>
      </c>
      <c r="BH309" s="81">
        <f t="shared" si="300"/>
        <v>367.68415895267231</v>
      </c>
      <c r="BI309" s="80">
        <v>367.68415895267231</v>
      </c>
      <c r="BK309" s="81">
        <f t="shared" si="301"/>
        <v>37.676588610080699</v>
      </c>
      <c r="BL309" s="81">
        <f t="shared" si="302"/>
        <v>31.971528625327004</v>
      </c>
      <c r="BM309" s="81">
        <f t="shared" si="303"/>
        <v>5.7050599847536958</v>
      </c>
      <c r="BN309" s="192">
        <f t="shared" si="304"/>
        <v>0.15142188279825466</v>
      </c>
      <c r="BO309" s="81">
        <f t="shared" si="305"/>
        <v>32</v>
      </c>
      <c r="BP309" s="49">
        <f t="shared" si="306"/>
        <v>4.8455002495441493</v>
      </c>
      <c r="BQ309" s="82">
        <f t="shared" si="307"/>
        <v>4050.0101209662835</v>
      </c>
      <c r="BS309" s="193">
        <v>4050.0101209662835</v>
      </c>
    </row>
    <row r="310" spans="1:71" x14ac:dyDescent="0.25">
      <c r="A310" s="5">
        <v>4</v>
      </c>
      <c r="B310" s="14"/>
      <c r="C310" s="12" t="s">
        <v>23</v>
      </c>
      <c r="D310" s="10" t="s">
        <v>24</v>
      </c>
      <c r="E310" s="11" t="s">
        <v>25</v>
      </c>
      <c r="F310" s="33">
        <v>44248</v>
      </c>
      <c r="G310" s="29">
        <v>0.21736111111111112</v>
      </c>
      <c r="H310" s="28">
        <v>-27</v>
      </c>
      <c r="I310" s="28">
        <v>61</v>
      </c>
      <c r="J310" s="28" t="s">
        <v>88</v>
      </c>
      <c r="K310" s="10">
        <v>26</v>
      </c>
      <c r="L310" s="47">
        <f t="shared" si="295"/>
        <v>101013.04768769341</v>
      </c>
      <c r="M310" s="10">
        <f t="shared" si="287"/>
        <v>1.0101304768769341</v>
      </c>
      <c r="N310" s="10" t="s">
        <v>15</v>
      </c>
      <c r="O310" s="10">
        <f>_xll.HumidairTdbRHPsi(H310,I310,M310,N310)</f>
        <v>1.9530870597659575E-4</v>
      </c>
      <c r="P310" s="49">
        <f t="shared" si="296"/>
        <v>0.19530870597659575</v>
      </c>
      <c r="Q310" s="31"/>
      <c r="R310" s="58">
        <v>0.19530870597659575</v>
      </c>
      <c r="S310" s="4"/>
      <c r="T310" s="10">
        <v>4</v>
      </c>
      <c r="U310" s="10" t="s">
        <v>144</v>
      </c>
      <c r="V310" s="78">
        <f>_xll.HumidairTdbRHPsi(H310, I310,M310,U310)</f>
        <v>-31.776272510009363</v>
      </c>
      <c r="W310" s="79">
        <v>-31.776272510009363</v>
      </c>
      <c r="X310" s="4"/>
      <c r="Y310" s="10">
        <v>4</v>
      </c>
      <c r="Z310" s="10" t="s">
        <v>145</v>
      </c>
      <c r="AA310" s="78">
        <f>_xll.HumidairTdbRHPsi(H310,I310,M310,Z310)</f>
        <v>-26.675061722306715</v>
      </c>
      <c r="AB310" s="81">
        <f t="shared" si="297"/>
        <v>10.324938277693285</v>
      </c>
      <c r="AC310" s="80">
        <v>10.324938277693285</v>
      </c>
      <c r="AE310" s="10" t="s">
        <v>146</v>
      </c>
      <c r="AF310" s="78">
        <f>_xll.HumidairTdbRHPsi(H310,I310,M310,AE310)</f>
        <v>-27.153549241300919</v>
      </c>
      <c r="AG310" s="81">
        <f t="shared" si="298"/>
        <v>9.8464507586990813</v>
      </c>
      <c r="AH310" s="80">
        <v>9.8464507586990813</v>
      </c>
      <c r="AJ310" s="10" t="s">
        <v>150</v>
      </c>
      <c r="AK310" s="84">
        <f>_xll.HumidairTdbRHPsi(H310,I310,M310,AJ310)</f>
        <v>0.69878747560656118</v>
      </c>
      <c r="AL310" s="58">
        <v>0.69878747560656118</v>
      </c>
      <c r="AN310" s="49">
        <f t="shared" si="288"/>
        <v>0.60791572688339768</v>
      </c>
      <c r="AO310" s="81">
        <f t="shared" si="299"/>
        <v>0.32127595543198911</v>
      </c>
      <c r="AP310" s="81">
        <f t="shared" si="289"/>
        <v>0.78479253772659263</v>
      </c>
      <c r="AR310" s="58">
        <v>0.60791572688339768</v>
      </c>
      <c r="AS310" s="155">
        <v>0.32127595543198911</v>
      </c>
      <c r="AT310" s="155">
        <v>0.78479253772659263</v>
      </c>
      <c r="AU310" s="140"/>
      <c r="AV310" s="49">
        <f t="shared" si="290"/>
        <v>2.7084273116602331E-2</v>
      </c>
      <c r="AW310" s="162">
        <f t="shared" si="291"/>
        <v>2.7084273116602332E-5</v>
      </c>
      <c r="AX310" s="10">
        <f t="shared" si="292"/>
        <v>10</v>
      </c>
      <c r="AY310" s="55">
        <f t="shared" si="293"/>
        <v>2.2561199506129743E-4</v>
      </c>
      <c r="AZ310" s="55">
        <f t="shared" si="294"/>
        <v>1.3247915153335139E-4</v>
      </c>
      <c r="BB310" s="58">
        <v>2.7084273116602331E-2</v>
      </c>
      <c r="BC310" s="167">
        <v>2.7084273116602332E-5</v>
      </c>
      <c r="BD310" s="168">
        <v>10</v>
      </c>
      <c r="BE310" s="170">
        <v>2.2561199506129743E-4</v>
      </c>
      <c r="BF310" s="171">
        <v>1.3247915153335139E-4</v>
      </c>
      <c r="BH310" s="81">
        <f t="shared" si="300"/>
        <v>400.17129738151215</v>
      </c>
      <c r="BI310" s="80">
        <v>400.17129738151215</v>
      </c>
      <c r="BK310" s="81">
        <f t="shared" si="301"/>
        <v>10.324938277693285</v>
      </c>
      <c r="BL310" s="81">
        <f t="shared" si="302"/>
        <v>9.8464507586990813</v>
      </c>
      <c r="BM310" s="81">
        <f t="shared" si="303"/>
        <v>0.4784875189942035</v>
      </c>
      <c r="BN310" s="192">
        <f t="shared" si="304"/>
        <v>4.6342893887120006E-2</v>
      </c>
      <c r="BO310" s="81">
        <f t="shared" si="305"/>
        <v>10</v>
      </c>
      <c r="BP310" s="49">
        <f t="shared" si="306"/>
        <v>0.46342893887120007</v>
      </c>
      <c r="BQ310" s="82">
        <f t="shared" si="307"/>
        <v>3498.1273166935453</v>
      </c>
      <c r="BS310" s="193">
        <v>3498.1273166935453</v>
      </c>
    </row>
    <row r="311" spans="1:71" x14ac:dyDescent="0.25">
      <c r="A311">
        <v>5</v>
      </c>
      <c r="C311" s="9" t="s">
        <v>26</v>
      </c>
      <c r="D311" s="10" t="s">
        <v>27</v>
      </c>
      <c r="E311" s="11" t="s">
        <v>28</v>
      </c>
      <c r="F311" s="33">
        <v>44248</v>
      </c>
      <c r="G311" s="29">
        <v>0.84375</v>
      </c>
      <c r="H311" s="28">
        <v>-10</v>
      </c>
      <c r="I311" s="28">
        <v>68</v>
      </c>
      <c r="J311" s="28" t="s">
        <v>88</v>
      </c>
      <c r="K311" s="10">
        <v>356</v>
      </c>
      <c r="L311" s="47">
        <f t="shared" si="295"/>
        <v>97120.766933102874</v>
      </c>
      <c r="M311" s="10">
        <f t="shared" si="287"/>
        <v>0.97120766933102876</v>
      </c>
      <c r="N311" s="10" t="s">
        <v>15</v>
      </c>
      <c r="O311" s="10">
        <f>_xll.HumidairTdbRHPsi(H311,I311,M311,N311)</f>
        <v>1.1384177310993068E-3</v>
      </c>
      <c r="P311" s="49">
        <f t="shared" si="296"/>
        <v>1.1384177310993069</v>
      </c>
      <c r="Q311" s="31"/>
      <c r="R311" s="58">
        <v>1.1384177310993069</v>
      </c>
      <c r="S311" s="4"/>
      <c r="T311" s="10">
        <v>5</v>
      </c>
      <c r="U311" s="10" t="s">
        <v>144</v>
      </c>
      <c r="V311" s="78">
        <f>_xll.HumidairTdbRHPsi(H311, I311,M311,U311)</f>
        <v>-14.274016396321429</v>
      </c>
      <c r="W311" s="79">
        <v>-14.274016396321429</v>
      </c>
      <c r="X311" s="4"/>
      <c r="Y311" s="10">
        <v>5</v>
      </c>
      <c r="Z311" s="10" t="s">
        <v>145</v>
      </c>
      <c r="AA311" s="78">
        <f>_xll.HumidairTdbRHPsi(H311,I311,M311,Z311)</f>
        <v>-7.2201573778072818</v>
      </c>
      <c r="AB311" s="81">
        <f t="shared" si="297"/>
        <v>29.779842622192717</v>
      </c>
      <c r="AC311" s="80">
        <v>29.779842622192717</v>
      </c>
      <c r="AE311" s="10" t="s">
        <v>146</v>
      </c>
      <c r="AF311" s="78">
        <f>_xll.HumidairTdbRHPsi(H311,I311,M311,AE311)</f>
        <v>-10.045145495791015</v>
      </c>
      <c r="AG311" s="81">
        <f t="shared" si="298"/>
        <v>26.954854504208985</v>
      </c>
      <c r="AH311" s="80">
        <v>26.954854504208985</v>
      </c>
      <c r="AJ311" s="10" t="s">
        <v>150</v>
      </c>
      <c r="AK311" s="84">
        <f>_xll.HumidairTdbRHPsi(H311,I311,M311,AJ311)</f>
        <v>0.77723865356629673</v>
      </c>
      <c r="AL311" s="58">
        <v>0.77723865356629673</v>
      </c>
      <c r="AN311" s="49">
        <f t="shared" si="288"/>
        <v>0.54655528803308839</v>
      </c>
      <c r="AO311" s="81">
        <f t="shared" si="299"/>
        <v>2.0828958314467672</v>
      </c>
      <c r="AP311" s="81">
        <f t="shared" si="289"/>
        <v>5.0879658989210812</v>
      </c>
      <c r="AR311" s="58">
        <v>0.54655528803308839</v>
      </c>
      <c r="AS311" s="155">
        <v>2.0828958314467672</v>
      </c>
      <c r="AT311" s="155">
        <v>5.0879658989210812</v>
      </c>
      <c r="AU311" s="140"/>
      <c r="AV311" s="49">
        <f t="shared" si="290"/>
        <v>8.8444711966911616E-2</v>
      </c>
      <c r="AW311" s="162">
        <f t="shared" si="291"/>
        <v>8.844471196691161E-5</v>
      </c>
      <c r="AX311" s="10">
        <f t="shared" si="292"/>
        <v>27</v>
      </c>
      <c r="AY311" s="55">
        <f t="shared" si="293"/>
        <v>1.9892100168478091E-3</v>
      </c>
      <c r="AZ311" s="55">
        <f t="shared" si="294"/>
        <v>1.1680622529934286E-3</v>
      </c>
      <c r="BB311" s="58">
        <v>8.8444711966911616E-2</v>
      </c>
      <c r="BC311" s="167">
        <v>8.844471196691161E-5</v>
      </c>
      <c r="BD311" s="168">
        <v>27</v>
      </c>
      <c r="BE311" s="170">
        <v>1.9892100168478091E-3</v>
      </c>
      <c r="BF311" s="171">
        <v>1.1680622529934286E-3</v>
      </c>
      <c r="BH311" s="81">
        <f t="shared" si="300"/>
        <v>359.77970141390705</v>
      </c>
      <c r="BI311" s="80">
        <v>359.77970141390705</v>
      </c>
      <c r="BK311" s="81">
        <f t="shared" si="301"/>
        <v>29.779842622192717</v>
      </c>
      <c r="BL311" s="81">
        <f t="shared" si="302"/>
        <v>26.954854504208985</v>
      </c>
      <c r="BM311" s="81">
        <f t="shared" si="303"/>
        <v>2.8249881179837324</v>
      </c>
      <c r="BN311" s="192">
        <f t="shared" si="304"/>
        <v>9.486242603171037E-2</v>
      </c>
      <c r="BO311" s="81">
        <f t="shared" si="305"/>
        <v>27</v>
      </c>
      <c r="BP311" s="49">
        <f t="shared" si="306"/>
        <v>2.5612855028561801</v>
      </c>
      <c r="BQ311" s="82">
        <f t="shared" si="307"/>
        <v>2192.7645519682669</v>
      </c>
      <c r="BS311" s="193">
        <v>2192.7645519682669</v>
      </c>
    </row>
    <row r="312" spans="1:71" x14ac:dyDescent="0.25">
      <c r="A312">
        <v>6</v>
      </c>
      <c r="C312" s="9" t="s">
        <v>29</v>
      </c>
      <c r="D312" s="10" t="s">
        <v>30</v>
      </c>
      <c r="E312" s="11" t="s">
        <v>31</v>
      </c>
      <c r="F312" s="33">
        <v>44248</v>
      </c>
      <c r="G312" s="34">
        <v>0.17847222222222223</v>
      </c>
      <c r="H312" s="28">
        <v>3</v>
      </c>
      <c r="I312" s="28">
        <v>94</v>
      </c>
      <c r="J312" s="28" t="s">
        <v>85</v>
      </c>
      <c r="K312" s="10">
        <v>2</v>
      </c>
      <c r="L312" s="47">
        <f t="shared" si="295"/>
        <v>101300.97600813</v>
      </c>
      <c r="M312" s="10">
        <f t="shared" si="287"/>
        <v>1.0130097600812999</v>
      </c>
      <c r="N312" s="10" t="s">
        <v>15</v>
      </c>
      <c r="O312" s="10">
        <f>_xll.HumidairTdbRHPsi(H312,I312,M312,N312)</f>
        <v>4.423433001620119E-3</v>
      </c>
      <c r="P312" s="49">
        <f t="shared" si="296"/>
        <v>4.4234330016201193</v>
      </c>
      <c r="Q312" s="31"/>
      <c r="R312" s="58">
        <v>4.4234330016201193</v>
      </c>
      <c r="S312" s="4"/>
      <c r="T312" s="10">
        <v>6</v>
      </c>
      <c r="U312" s="10" t="s">
        <v>144</v>
      </c>
      <c r="V312" s="78">
        <f>_xll.HumidairTdbRHPsi(H312, I312,M312,U312)</f>
        <v>2.1301341982880331</v>
      </c>
      <c r="W312" s="79">
        <v>2.1301341982880331</v>
      </c>
      <c r="X312" s="4"/>
      <c r="Y312" s="10">
        <v>6</v>
      </c>
      <c r="Z312" s="10" t="s">
        <v>145</v>
      </c>
      <c r="AA312" s="78">
        <f>_xll.HumidairTdbRHPsi(H312,I312,M312,Z312)</f>
        <v>14.100106709538803</v>
      </c>
      <c r="AB312" s="81">
        <f t="shared" si="297"/>
        <v>51.100106709538807</v>
      </c>
      <c r="AC312" s="80">
        <v>51.100106709538807</v>
      </c>
      <c r="AE312" s="10" t="s">
        <v>146</v>
      </c>
      <c r="AF312" s="78">
        <f>_xll.HumidairTdbRHPsi(H312,I312,M312,AE312)</f>
        <v>3.0176267002826971</v>
      </c>
      <c r="AG312" s="81">
        <f t="shared" si="298"/>
        <v>40.017626700282698</v>
      </c>
      <c r="AH312" s="80">
        <v>40.017626700282698</v>
      </c>
      <c r="AJ312" s="10" t="s">
        <v>150</v>
      </c>
      <c r="AK312" s="84">
        <f>_xll.HumidairTdbRHPsi(H312,I312,M312,AJ312)</f>
        <v>0.7820953823747393</v>
      </c>
      <c r="AL312" s="58">
        <v>0.7820953823747393</v>
      </c>
      <c r="AN312" s="49">
        <f t="shared" si="288"/>
        <v>0.54316123805834371</v>
      </c>
      <c r="AO312" s="81">
        <f t="shared" si="299"/>
        <v>8.143867219672579</v>
      </c>
      <c r="AP312" s="81">
        <f t="shared" si="289"/>
        <v>19.893322591295558</v>
      </c>
      <c r="AR312" s="58">
        <v>0.54316123805834371</v>
      </c>
      <c r="AS312" s="155">
        <v>8.143867219672579</v>
      </c>
      <c r="AT312" s="155">
        <v>19.893322591295558</v>
      </c>
      <c r="AU312" s="140"/>
      <c r="AV312" s="49">
        <f t="shared" si="290"/>
        <v>9.1838761941656299E-2</v>
      </c>
      <c r="AW312" s="162">
        <f t="shared" si="291"/>
        <v>9.1838761941656305E-5</v>
      </c>
      <c r="AX312" s="10">
        <f t="shared" si="292"/>
        <v>40</v>
      </c>
      <c r="AY312" s="55">
        <f t="shared" si="293"/>
        <v>3.0600675478959882E-3</v>
      </c>
      <c r="AZ312" s="55">
        <f t="shared" si="294"/>
        <v>1.7968687891344616E-3</v>
      </c>
      <c r="BB312" s="58">
        <v>9.1838761941656299E-2</v>
      </c>
      <c r="BC312" s="167">
        <v>9.1838761941656305E-5</v>
      </c>
      <c r="BD312" s="168">
        <v>40</v>
      </c>
      <c r="BE312" s="170">
        <v>3.0600675478959882E-3</v>
      </c>
      <c r="BF312" s="171">
        <v>1.7968687891344616E-3</v>
      </c>
      <c r="BH312" s="81">
        <f t="shared" si="300"/>
        <v>357.54550788722463</v>
      </c>
      <c r="BI312" s="80">
        <v>357.54550788722463</v>
      </c>
      <c r="BK312" s="81">
        <f t="shared" si="301"/>
        <v>51.100106709538807</v>
      </c>
      <c r="BL312" s="81">
        <f t="shared" si="302"/>
        <v>40.017626700282698</v>
      </c>
      <c r="BM312" s="81">
        <f t="shared" si="303"/>
        <v>11.082480009256109</v>
      </c>
      <c r="BN312" s="192">
        <f t="shared" si="304"/>
        <v>0.21687782517266943</v>
      </c>
      <c r="BO312" s="81">
        <f t="shared" si="305"/>
        <v>40</v>
      </c>
      <c r="BP312" s="49">
        <f t="shared" si="306"/>
        <v>8.675113006906777</v>
      </c>
      <c r="BQ312" s="82">
        <f t="shared" si="307"/>
        <v>4827.9056653243524</v>
      </c>
      <c r="BS312" s="193">
        <v>4827.9056653243524</v>
      </c>
    </row>
    <row r="313" spans="1:71" x14ac:dyDescent="0.25">
      <c r="A313">
        <v>7</v>
      </c>
      <c r="B313" s="1" t="s">
        <v>32</v>
      </c>
      <c r="C313" s="9" t="s">
        <v>33</v>
      </c>
      <c r="D313" s="10" t="s">
        <v>34</v>
      </c>
      <c r="E313" s="11" t="s">
        <v>35</v>
      </c>
      <c r="F313" s="33">
        <v>44248</v>
      </c>
      <c r="G313" s="29">
        <v>0.54999999999999993</v>
      </c>
      <c r="H313" s="28">
        <v>12</v>
      </c>
      <c r="I313" s="28">
        <v>39</v>
      </c>
      <c r="J313" s="28" t="s">
        <v>100</v>
      </c>
      <c r="K313" s="10">
        <v>126</v>
      </c>
      <c r="L313" s="47">
        <f t="shared" si="295"/>
        <v>99820.46987859541</v>
      </c>
      <c r="M313" s="10">
        <f t="shared" si="287"/>
        <v>0.99820469878595408</v>
      </c>
      <c r="N313" s="10" t="s">
        <v>15</v>
      </c>
      <c r="O313" s="10">
        <f>_xll.HumidairTdbRHPsi(H313,I313,M313,N313)</f>
        <v>3.4406697275795638E-3</v>
      </c>
      <c r="P313" s="49">
        <f t="shared" si="296"/>
        <v>3.4406697275795639</v>
      </c>
      <c r="Q313" s="31"/>
      <c r="R313" s="58">
        <v>3.4406697275795639</v>
      </c>
      <c r="S313" s="4"/>
      <c r="T313" s="10">
        <v>7</v>
      </c>
      <c r="U313" s="10" t="s">
        <v>144</v>
      </c>
      <c r="V313" s="78">
        <f>_xll.HumidairTdbRHPsi(H313, I313,M313,U313)</f>
        <v>-1.340708315959148</v>
      </c>
      <c r="W313" s="79">
        <v>-1.340708315959148</v>
      </c>
      <c r="X313" s="4"/>
      <c r="Y313" s="10">
        <v>7</v>
      </c>
      <c r="Z313" s="10" t="s">
        <v>145</v>
      </c>
      <c r="AA313" s="78">
        <f>_xll.HumidairTdbRHPsi(H313,I313,M313,Z313)</f>
        <v>20.753719802122557</v>
      </c>
      <c r="AB313" s="81">
        <f t="shared" si="297"/>
        <v>57.753719802122561</v>
      </c>
      <c r="AC313" s="80">
        <v>57.753719802122561</v>
      </c>
      <c r="AE313" s="10" t="s">
        <v>146</v>
      </c>
      <c r="AF313" s="78">
        <f>_xll.HumidairTdbRHPsi(H313,I313,M313,AE313)</f>
        <v>12.0750614072193</v>
      </c>
      <c r="AG313" s="81">
        <f t="shared" si="298"/>
        <v>49.075061407219302</v>
      </c>
      <c r="AH313" s="80">
        <v>49.075061407219302</v>
      </c>
      <c r="AJ313" s="10" t="s">
        <v>150</v>
      </c>
      <c r="AK313" s="84">
        <f>_xll.HumidairTdbRHPsi(H313,I313,M313,AJ313)</f>
        <v>0.81965446885972992</v>
      </c>
      <c r="AL313" s="58">
        <v>0.81965446885972992</v>
      </c>
      <c r="AN313" s="49">
        <f t="shared" si="288"/>
        <v>0.51827192104661746</v>
      </c>
      <c r="AO313" s="81">
        <f t="shared" si="299"/>
        <v>6.6387345867230243</v>
      </c>
      <c r="AP313" s="81">
        <f t="shared" si="289"/>
        <v>16.21668000831944</v>
      </c>
      <c r="AR313" s="58">
        <v>0.51827192104661746</v>
      </c>
      <c r="AS313" s="155">
        <v>6.6387345867230243</v>
      </c>
      <c r="AT313" s="155">
        <v>16.21668000831944</v>
      </c>
      <c r="AU313" s="140"/>
      <c r="AV313" s="49">
        <f t="shared" si="290"/>
        <v>0.11672807895338255</v>
      </c>
      <c r="AW313" s="162">
        <f t="shared" si="291"/>
        <v>1.1672807895338255E-4</v>
      </c>
      <c r="AX313" s="10">
        <f t="shared" si="292"/>
        <v>49</v>
      </c>
      <c r="AY313" s="55">
        <f t="shared" si="293"/>
        <v>4.764489998640215E-3</v>
      </c>
      <c r="AZ313" s="55">
        <f t="shared" si="294"/>
        <v>2.7977040508750527E-3</v>
      </c>
      <c r="BB313" s="58">
        <v>0.11672807895338255</v>
      </c>
      <c r="BC313" s="167">
        <v>1.1672807895338255E-4</v>
      </c>
      <c r="BD313" s="168">
        <v>49</v>
      </c>
      <c r="BE313" s="170">
        <v>4.764489998640215E-3</v>
      </c>
      <c r="BF313" s="171">
        <v>2.7977040508750527E-3</v>
      </c>
      <c r="BH313" s="81">
        <f t="shared" si="300"/>
        <v>341.16167401178916</v>
      </c>
      <c r="BI313" s="80">
        <v>341.16167401178916</v>
      </c>
      <c r="BK313" s="81">
        <f t="shared" si="301"/>
        <v>57.753719802122561</v>
      </c>
      <c r="BL313" s="81">
        <f t="shared" si="302"/>
        <v>49.075061407219302</v>
      </c>
      <c r="BM313" s="81">
        <f t="shared" si="303"/>
        <v>8.678658394903259</v>
      </c>
      <c r="BN313" s="192">
        <f t="shared" si="304"/>
        <v>0.1502701198232482</v>
      </c>
      <c r="BO313" s="81">
        <f t="shared" si="305"/>
        <v>49</v>
      </c>
      <c r="BP313" s="49">
        <f t="shared" si="306"/>
        <v>7.3632358713391621</v>
      </c>
      <c r="BQ313" s="82">
        <f t="shared" si="307"/>
        <v>2631.885194946236</v>
      </c>
      <c r="BS313" s="193">
        <v>2631.885194946236</v>
      </c>
    </row>
    <row r="314" spans="1:71" x14ac:dyDescent="0.25">
      <c r="A314">
        <v>8</v>
      </c>
      <c r="C314" s="9" t="s">
        <v>36</v>
      </c>
      <c r="D314" s="10" t="s">
        <v>37</v>
      </c>
      <c r="E314" s="11" t="s">
        <v>38</v>
      </c>
      <c r="F314" s="33">
        <v>44248</v>
      </c>
      <c r="G314" s="29">
        <v>0.84166666666666667</v>
      </c>
      <c r="H314" s="28">
        <v>-18</v>
      </c>
      <c r="I314" s="28">
        <v>76</v>
      </c>
      <c r="J314" s="28" t="s">
        <v>88</v>
      </c>
      <c r="K314" s="10">
        <v>143</v>
      </c>
      <c r="L314" s="47">
        <f t="shared" si="295"/>
        <v>99618.87034335341</v>
      </c>
      <c r="M314" s="10">
        <f t="shared" si="287"/>
        <v>0.99618870343353405</v>
      </c>
      <c r="N314" s="10" t="s">
        <v>15</v>
      </c>
      <c r="O314" s="10">
        <f>_xll.HumidairTdbRHPsi(H314,I314,M314,N314)</f>
        <v>5.95855844032065E-4</v>
      </c>
      <c r="P314" s="49">
        <f t="shared" si="296"/>
        <v>0.59585584403206504</v>
      </c>
      <c r="Q314" s="31"/>
      <c r="R314" s="58">
        <v>0.59585584403206504</v>
      </c>
      <c r="S314" s="4"/>
      <c r="T314" s="10">
        <v>8</v>
      </c>
      <c r="U314" s="10" t="s">
        <v>144</v>
      </c>
      <c r="V314" s="78">
        <f>_xll.HumidairTdbRHPsi(H314, I314,M314,U314)</f>
        <v>-20.873215683753358</v>
      </c>
      <c r="W314" s="79">
        <v>-20.873215683753358</v>
      </c>
      <c r="X314" s="4"/>
      <c r="Y314" s="10">
        <v>8</v>
      </c>
      <c r="Z314" s="10" t="s">
        <v>145</v>
      </c>
      <c r="AA314" s="78">
        <f>_xll.HumidairTdbRHPsi(H314,I314,M314,Z314)</f>
        <v>-16.628163778523653</v>
      </c>
      <c r="AB314" s="81">
        <f t="shared" si="297"/>
        <v>20.371836221476347</v>
      </c>
      <c r="AC314" s="80">
        <v>20.371836221476347</v>
      </c>
      <c r="AE314" s="10" t="s">
        <v>146</v>
      </c>
      <c r="AF314" s="78">
        <f>_xll.HumidairTdbRHPsi(H314,I314,M314,AE314)</f>
        <v>-18.097916929072941</v>
      </c>
      <c r="AG314" s="81">
        <f t="shared" si="298"/>
        <v>18.902083070927059</v>
      </c>
      <c r="AH314" s="80">
        <v>18.902083070927059</v>
      </c>
      <c r="AJ314" s="10" t="s">
        <v>150</v>
      </c>
      <c r="AK314" s="84">
        <f>_xll.HumidairTdbRHPsi(H314,I314,M314,AJ314)</f>
        <v>0.73460510932618239</v>
      </c>
      <c r="AL314" s="58">
        <v>0.73460510932618239</v>
      </c>
      <c r="AN314" s="49">
        <f t="shared" si="288"/>
        <v>0.57827517230315628</v>
      </c>
      <c r="AO314" s="81">
        <f t="shared" si="299"/>
        <v>1.0304019134331643</v>
      </c>
      <c r="AP314" s="81">
        <f t="shared" si="289"/>
        <v>2.5170004752899517</v>
      </c>
      <c r="AR314" s="58">
        <v>0.57827517230315628</v>
      </c>
      <c r="AS314" s="155">
        <v>1.0304019134331643</v>
      </c>
      <c r="AT314" s="155">
        <v>2.5170004752899517</v>
      </c>
      <c r="AU314" s="140"/>
      <c r="AV314" s="49">
        <f t="shared" si="290"/>
        <v>5.6724827696843727E-2</v>
      </c>
      <c r="AW314" s="162">
        <f t="shared" si="291"/>
        <v>5.6724827696843729E-5</v>
      </c>
      <c r="AX314" s="10">
        <f t="shared" si="292"/>
        <v>19</v>
      </c>
      <c r="AY314" s="55">
        <f t="shared" si="293"/>
        <v>8.977838479579457E-4</v>
      </c>
      <c r="AZ314" s="55">
        <f t="shared" si="294"/>
        <v>5.2717783203637446E-4</v>
      </c>
      <c r="BB314" s="58">
        <v>5.6724827696843727E-2</v>
      </c>
      <c r="BC314" s="167">
        <v>5.6724827696843729E-5</v>
      </c>
      <c r="BD314" s="168">
        <v>19</v>
      </c>
      <c r="BE314" s="170">
        <v>8.977838479579457E-4</v>
      </c>
      <c r="BF314" s="171">
        <v>5.2717783203637446E-4</v>
      </c>
      <c r="BH314" s="81">
        <f t="shared" si="300"/>
        <v>380.65987720113282</v>
      </c>
      <c r="BI314" s="80">
        <v>380.65987720113282</v>
      </c>
      <c r="BK314" s="81">
        <f t="shared" si="301"/>
        <v>20.371836221476347</v>
      </c>
      <c r="BL314" s="81">
        <f t="shared" si="302"/>
        <v>18.902083070927059</v>
      </c>
      <c r="BM314" s="81">
        <f t="shared" si="303"/>
        <v>1.4697531505492876</v>
      </c>
      <c r="BN314" s="192">
        <f t="shared" si="304"/>
        <v>7.2146326652668055E-2</v>
      </c>
      <c r="BO314" s="81">
        <f t="shared" si="305"/>
        <v>19</v>
      </c>
      <c r="BP314" s="49">
        <f t="shared" si="306"/>
        <v>1.3707802064006931</v>
      </c>
      <c r="BQ314" s="82">
        <f t="shared" si="307"/>
        <v>2600.2235357766549</v>
      </c>
      <c r="BS314" s="193">
        <v>2600.2235357766549</v>
      </c>
    </row>
    <row r="315" spans="1:71" x14ac:dyDescent="0.25">
      <c r="A315">
        <v>9</v>
      </c>
      <c r="C315" s="68" t="s">
        <v>39</v>
      </c>
      <c r="D315" s="10" t="s">
        <v>40</v>
      </c>
      <c r="E315" s="11" t="s">
        <v>41</v>
      </c>
      <c r="F315" s="33">
        <v>44248</v>
      </c>
      <c r="G315" s="29">
        <v>0.29722222222222222</v>
      </c>
      <c r="H315" s="28">
        <v>2</v>
      </c>
      <c r="I315" s="28">
        <v>71</v>
      </c>
      <c r="J315" s="28" t="s">
        <v>75</v>
      </c>
      <c r="K315" s="10">
        <v>62</v>
      </c>
      <c r="L315" s="47">
        <f t="shared" si="295"/>
        <v>100582.39802554256</v>
      </c>
      <c r="M315" s="10">
        <f t="shared" si="287"/>
        <v>1.0058239802554256</v>
      </c>
      <c r="N315" s="10" t="s">
        <v>15</v>
      </c>
      <c r="O315" s="10">
        <f>_xll.HumidairTdbRHPsi(H315,I315,M315,N315)</f>
        <v>3.1272514538153509E-3</v>
      </c>
      <c r="P315" s="49">
        <f t="shared" si="296"/>
        <v>3.1272514538153509</v>
      </c>
      <c r="Q315" s="31"/>
      <c r="R315" s="58">
        <v>3.1272514538153509</v>
      </c>
      <c r="S315" s="4"/>
      <c r="T315" s="10">
        <v>9</v>
      </c>
      <c r="U315" s="10" t="s">
        <v>144</v>
      </c>
      <c r="V315" s="78">
        <f>_xll.HumidairTdbRHPsi(H315, I315,M315,U315)</f>
        <v>-2.387964755975247</v>
      </c>
      <c r="W315" s="79">
        <v>-2.387964755975247</v>
      </c>
      <c r="X315" s="4"/>
      <c r="Y315" s="10">
        <v>9</v>
      </c>
      <c r="Z315" s="10" t="s">
        <v>145</v>
      </c>
      <c r="AA315" s="78">
        <f>_xll.HumidairTdbRHPsi(H315,I315,M315,Z315)</f>
        <v>9.8433248863960632</v>
      </c>
      <c r="AB315" s="81">
        <f t="shared" si="297"/>
        <v>46.843324886396061</v>
      </c>
      <c r="AC315" s="80">
        <v>46.843324886396061</v>
      </c>
      <c r="AE315" s="10" t="s">
        <v>146</v>
      </c>
      <c r="AF315" s="78">
        <f>_xll.HumidairTdbRHPsi(H315,I315,M315,AE315)</f>
        <v>2.0137192752561077</v>
      </c>
      <c r="AG315" s="81">
        <f t="shared" si="298"/>
        <v>39.013719275256108</v>
      </c>
      <c r="AH315" s="80">
        <v>39.013719275256108</v>
      </c>
      <c r="AJ315" s="10" t="s">
        <v>150</v>
      </c>
      <c r="AK315" s="84">
        <f>_xll.HumidairTdbRHPsi(H315,I315,M315,AJ315)</f>
        <v>0.78482360935704609</v>
      </c>
      <c r="AL315" s="58">
        <v>0.78482360935704609</v>
      </c>
      <c r="AN315" s="49">
        <f t="shared" si="288"/>
        <v>0.54127308493992776</v>
      </c>
      <c r="AO315" s="81">
        <f t="shared" si="299"/>
        <v>5.7775853646268471</v>
      </c>
      <c r="AP315" s="81">
        <f t="shared" si="289"/>
        <v>14.113119278225508</v>
      </c>
      <c r="AR315" s="58">
        <v>0.54127308493992776</v>
      </c>
      <c r="AS315" s="155">
        <v>5.7775853646268471</v>
      </c>
      <c r="AT315" s="155">
        <v>14.113119278225508</v>
      </c>
      <c r="AU315" s="140"/>
      <c r="AV315" s="49">
        <f t="shared" si="290"/>
        <v>9.3726915060072247E-2</v>
      </c>
      <c r="AW315" s="162">
        <f t="shared" si="291"/>
        <v>9.3726915060072247E-5</v>
      </c>
      <c r="AX315" s="10">
        <f t="shared" si="292"/>
        <v>39</v>
      </c>
      <c r="AY315" s="55">
        <f t="shared" si="293"/>
        <v>3.0449062895565671E-3</v>
      </c>
      <c r="AZ315" s="55">
        <f t="shared" si="294"/>
        <v>1.7879661124818361E-3</v>
      </c>
      <c r="BB315" s="58">
        <v>9.3726915060072247E-2</v>
      </c>
      <c r="BC315" s="167">
        <v>9.3726915060072247E-5</v>
      </c>
      <c r="BD315" s="168">
        <v>39</v>
      </c>
      <c r="BE315" s="170">
        <v>3.0449062895565671E-3</v>
      </c>
      <c r="BF315" s="171">
        <v>1.7879661124818361E-3</v>
      </c>
      <c r="BH315" s="81">
        <f t="shared" si="300"/>
        <v>356.30259764549578</v>
      </c>
      <c r="BI315" s="80">
        <v>356.30259764549578</v>
      </c>
      <c r="BK315" s="81">
        <f t="shared" si="301"/>
        <v>46.843324886396061</v>
      </c>
      <c r="BL315" s="81">
        <f t="shared" si="302"/>
        <v>39.013719275256108</v>
      </c>
      <c r="BM315" s="81">
        <f t="shared" si="303"/>
        <v>7.8296056111399537</v>
      </c>
      <c r="BN315" s="192">
        <f t="shared" si="304"/>
        <v>0.16714453190776341</v>
      </c>
      <c r="BO315" s="81">
        <f t="shared" si="305"/>
        <v>39</v>
      </c>
      <c r="BP315" s="49">
        <f t="shared" si="306"/>
        <v>6.5186367444027731</v>
      </c>
      <c r="BQ315" s="82">
        <f t="shared" si="307"/>
        <v>3645.839089955904</v>
      </c>
      <c r="BS315" s="193">
        <v>3645.839089955904</v>
      </c>
    </row>
    <row r="316" spans="1:71" x14ac:dyDescent="0.25">
      <c r="A316" s="5">
        <v>10</v>
      </c>
      <c r="B316" s="14"/>
      <c r="C316" s="12" t="s">
        <v>42</v>
      </c>
      <c r="D316" s="13" t="s">
        <v>43</v>
      </c>
      <c r="E316" s="8" t="s">
        <v>44</v>
      </c>
      <c r="F316" s="33">
        <v>44248</v>
      </c>
      <c r="G316" s="29">
        <v>0.26319444444444445</v>
      </c>
      <c r="H316" s="50">
        <v>-7</v>
      </c>
      <c r="I316" s="28">
        <v>72</v>
      </c>
      <c r="J316" s="28" t="s">
        <v>85</v>
      </c>
      <c r="K316" s="10">
        <v>255</v>
      </c>
      <c r="L316" s="47">
        <f t="shared" si="295"/>
        <v>98298.910193542106</v>
      </c>
      <c r="M316" s="10">
        <f t="shared" si="287"/>
        <v>0.98298910193542111</v>
      </c>
      <c r="N316" s="10" t="s">
        <v>15</v>
      </c>
      <c r="O316" s="10">
        <f>_xll.HumidairTdbRHPsi(H316,I316,M316,N316)</f>
        <v>1.5507132161885055E-3</v>
      </c>
      <c r="P316" s="49">
        <f t="shared" si="296"/>
        <v>1.5507132161885055</v>
      </c>
      <c r="Q316" s="31"/>
      <c r="R316" s="58">
        <v>1.5507132161885055</v>
      </c>
      <c r="S316" s="4"/>
      <c r="T316" s="10">
        <v>10</v>
      </c>
      <c r="U316" s="10" t="s">
        <v>144</v>
      </c>
      <c r="V316" s="78">
        <f>_xll.HumidairTdbRHPsi(H316, I316,M316,U316)</f>
        <v>-10.732895696595449</v>
      </c>
      <c r="W316" s="79">
        <v>-10.732895696595449</v>
      </c>
      <c r="X316" s="4"/>
      <c r="Y316" s="10">
        <v>10</v>
      </c>
      <c r="Z316" s="10" t="s">
        <v>145</v>
      </c>
      <c r="AA316" s="78">
        <f>_xll.HumidairTdbRHPsi(H316,I316,M316,Z316)</f>
        <v>-3.1749772486652228</v>
      </c>
      <c r="AB316" s="81">
        <f t="shared" si="297"/>
        <v>33.825022751334778</v>
      </c>
      <c r="AC316" s="80">
        <v>33.825022751334778</v>
      </c>
      <c r="AE316" s="10" t="s">
        <v>146</v>
      </c>
      <c r="AF316" s="78">
        <f>_xll.HumidairTdbRHPsi(H316,I316,M316,AE316)</f>
        <v>-7.0316643326093615</v>
      </c>
      <c r="AG316" s="81">
        <f t="shared" si="298"/>
        <v>29.96833566739064</v>
      </c>
      <c r="AH316" s="80">
        <v>29.96833566739064</v>
      </c>
      <c r="AJ316" s="10" t="s">
        <v>150</v>
      </c>
      <c r="AK316" s="84">
        <f>_xll.HumidairTdbRHPsi(H316,I316,M316,AJ316)</f>
        <v>0.77670493777349925</v>
      </c>
      <c r="AL316" s="58">
        <v>0.77670493777349925</v>
      </c>
      <c r="AN316" s="49">
        <f t="shared" si="288"/>
        <v>0.54693085560665944</v>
      </c>
      <c r="AO316" s="81">
        <f t="shared" si="299"/>
        <v>2.8353002948945782</v>
      </c>
      <c r="AP316" s="81">
        <f t="shared" si="289"/>
        <v>6.9258918260949933</v>
      </c>
      <c r="AR316" s="58">
        <v>0.54693085560665944</v>
      </c>
      <c r="AS316" s="155">
        <v>2.8353002948945782</v>
      </c>
      <c r="AT316" s="155">
        <v>6.9258918260949933</v>
      </c>
      <c r="AU316" s="140"/>
      <c r="AV316" s="49">
        <f t="shared" si="290"/>
        <v>8.806914439334057E-2</v>
      </c>
      <c r="AW316" s="162">
        <f t="shared" si="291"/>
        <v>8.8069144393340573E-5</v>
      </c>
      <c r="AX316" s="10">
        <f t="shared" si="292"/>
        <v>30</v>
      </c>
      <c r="AY316" s="55">
        <f t="shared" si="293"/>
        <v>2.2008479183895807E-3</v>
      </c>
      <c r="AZ316" s="55">
        <f t="shared" si="294"/>
        <v>1.2923358299410338E-3</v>
      </c>
      <c r="BB316" s="58">
        <v>8.806914439334057E-2</v>
      </c>
      <c r="BC316" s="167">
        <v>8.8069144393340573E-5</v>
      </c>
      <c r="BD316" s="168">
        <v>30</v>
      </c>
      <c r="BE316" s="170">
        <v>2.2008479183895807E-3</v>
      </c>
      <c r="BF316" s="171">
        <v>1.2923358299410338E-3</v>
      </c>
      <c r="BH316" s="81">
        <f t="shared" si="300"/>
        <v>360.02692542296637</v>
      </c>
      <c r="BI316" s="80">
        <v>360.02692542296637</v>
      </c>
      <c r="BK316" s="81">
        <f t="shared" si="301"/>
        <v>33.825022751334778</v>
      </c>
      <c r="BL316" s="81">
        <f t="shared" si="302"/>
        <v>29.96833566739064</v>
      </c>
      <c r="BM316" s="81">
        <f t="shared" si="303"/>
        <v>3.8566870839441378</v>
      </c>
      <c r="BN316" s="192">
        <f t="shared" si="304"/>
        <v>0.11401875801523144</v>
      </c>
      <c r="BO316" s="81">
        <f t="shared" si="305"/>
        <v>30</v>
      </c>
      <c r="BP316" s="49">
        <f t="shared" si="306"/>
        <v>3.4205627404569432</v>
      </c>
      <c r="BQ316" s="82">
        <f t="shared" si="307"/>
        <v>2646.8063959915244</v>
      </c>
      <c r="BS316" s="193">
        <v>2646.8063959915244</v>
      </c>
    </row>
    <row r="317" spans="1:71" x14ac:dyDescent="0.25">
      <c r="A317">
        <v>11</v>
      </c>
      <c r="C317" s="9" t="s">
        <v>77</v>
      </c>
      <c r="D317" s="10" t="s">
        <v>78</v>
      </c>
      <c r="E317" s="11" t="s">
        <v>79</v>
      </c>
      <c r="F317" s="33">
        <v>44248</v>
      </c>
      <c r="G317" s="34">
        <v>0.50694444444444442</v>
      </c>
      <c r="H317" s="28">
        <v>28</v>
      </c>
      <c r="I317" s="28">
        <v>9</v>
      </c>
      <c r="J317" s="28" t="s">
        <v>75</v>
      </c>
      <c r="K317" s="10">
        <v>138</v>
      </c>
      <c r="L317" s="47">
        <f>+((101325*(1-(2.25577*10^-5)*(K317))^5.25588))</f>
        <v>99678.130068961269</v>
      </c>
      <c r="M317" s="10">
        <f t="shared" si="287"/>
        <v>0.99678130068961268</v>
      </c>
      <c r="N317" s="10" t="s">
        <v>15</v>
      </c>
      <c r="O317" s="10">
        <f>_xll.HumidairTdbRHPsi(H317,I317,M317,N317)</f>
        <v>2.1404036400789841E-3</v>
      </c>
      <c r="P317" s="49">
        <f>+O317*1000</f>
        <v>2.1404036400789841</v>
      </c>
      <c r="Q317" s="31"/>
      <c r="R317" s="58">
        <v>2.1404036400789841</v>
      </c>
      <c r="S317" s="4"/>
      <c r="T317" s="10">
        <v>11</v>
      </c>
      <c r="U317" s="10" t="s">
        <v>144</v>
      </c>
      <c r="V317" s="78">
        <f>_xll.HumidairTdbRHPsi(H317, I317,M317,U317)</f>
        <v>-6.9226144033638093</v>
      </c>
      <c r="W317" s="79">
        <v>-6.9226144033638093</v>
      </c>
      <c r="X317" s="4"/>
      <c r="Y317" s="10">
        <v>11</v>
      </c>
      <c r="Z317" s="10" t="s">
        <v>145</v>
      </c>
      <c r="AA317" s="78">
        <f>_xll.HumidairTdbRHPsi(H317,I317,M317,Z317)</f>
        <v>33.638762444819001</v>
      </c>
      <c r="AB317" s="81">
        <f t="shared" si="297"/>
        <v>70.638762444819008</v>
      </c>
      <c r="AC317" s="80">
        <v>70.638762444819008</v>
      </c>
      <c r="AE317" s="10" t="s">
        <v>146</v>
      </c>
      <c r="AF317" s="78">
        <f>_xll.HumidairTdbRHPsi(H317,I317,M317,AE317)</f>
        <v>28.175560820631969</v>
      </c>
      <c r="AG317" s="81">
        <f t="shared" si="298"/>
        <v>65.175560820631972</v>
      </c>
      <c r="AH317" s="80">
        <v>65.175560820631972</v>
      </c>
      <c r="AJ317" s="10" t="s">
        <v>150</v>
      </c>
      <c r="AK317" s="84">
        <f>_xll.HumidairTdbRHPsi(H317,I317,M317,AJ317)</f>
        <v>0.86701700017831085</v>
      </c>
      <c r="AL317" s="58">
        <v>0.86701700017831085</v>
      </c>
      <c r="AN317" s="49">
        <f t="shared" si="288"/>
        <v>0.48996028461150348</v>
      </c>
      <c r="AO317" s="81">
        <f t="shared" si="299"/>
        <v>4.3685247708926873</v>
      </c>
      <c r="AP317" s="81">
        <f t="shared" si="289"/>
        <v>10.671155382482736</v>
      </c>
      <c r="AR317" s="58">
        <v>0.48996028461150348</v>
      </c>
      <c r="AS317" s="155">
        <v>4.3685247708926873</v>
      </c>
      <c r="AT317" s="155">
        <v>10.671155382482736</v>
      </c>
      <c r="AU317" s="140"/>
      <c r="AV317" s="49">
        <f t="shared" si="290"/>
        <v>0.14503971538849653</v>
      </c>
      <c r="AW317" s="162">
        <f t="shared" si="291"/>
        <v>1.4503971538849653E-4</v>
      </c>
      <c r="AX317" s="10">
        <f t="shared" si="292"/>
        <v>65</v>
      </c>
      <c r="AY317" s="55">
        <f t="shared" si="293"/>
        <v>7.8531753897101448E-3</v>
      </c>
      <c r="AZ317" s="55">
        <f t="shared" si="294"/>
        <v>4.6113772106342599E-3</v>
      </c>
      <c r="BB317" s="58">
        <v>0.14503971538849653</v>
      </c>
      <c r="BC317" s="167">
        <v>1.4503971538849653E-4</v>
      </c>
      <c r="BD317" s="168">
        <v>65</v>
      </c>
      <c r="BE317" s="170">
        <v>7.8531753897101448E-3</v>
      </c>
      <c r="BF317" s="171">
        <v>4.6113772106342599E-3</v>
      </c>
      <c r="BH317" s="81">
        <f t="shared" si="300"/>
        <v>322.52503774426526</v>
      </c>
      <c r="BI317" s="80">
        <v>322.52503774426526</v>
      </c>
      <c r="BK317" s="81">
        <f t="shared" si="301"/>
        <v>70.638762444819008</v>
      </c>
      <c r="BL317" s="81">
        <f t="shared" si="302"/>
        <v>65.175560820631972</v>
      </c>
      <c r="BM317" s="81">
        <f t="shared" si="303"/>
        <v>5.463201624187036</v>
      </c>
      <c r="BN317" s="192">
        <f t="shared" si="304"/>
        <v>7.733999627265177E-2</v>
      </c>
      <c r="BO317" s="81">
        <f t="shared" si="305"/>
        <v>65</v>
      </c>
      <c r="BP317" s="49">
        <f t="shared" si="306"/>
        <v>5.0270997577223655</v>
      </c>
      <c r="BQ317" s="82">
        <f t="shared" si="307"/>
        <v>1090.1514944666446</v>
      </c>
      <c r="BS317" s="193">
        <v>1090.1514944666446</v>
      </c>
    </row>
    <row r="318" spans="1:71" x14ac:dyDescent="0.25">
      <c r="A318">
        <v>12</v>
      </c>
      <c r="B318" s="1" t="s">
        <v>48</v>
      </c>
      <c r="C318" s="9" t="s">
        <v>45</v>
      </c>
      <c r="D318" s="10" t="s">
        <v>46</v>
      </c>
      <c r="E318" s="11" t="s">
        <v>47</v>
      </c>
      <c r="F318" s="33">
        <v>44248</v>
      </c>
      <c r="G318" s="29">
        <v>0.55694444444444446</v>
      </c>
      <c r="H318" s="28">
        <v>30</v>
      </c>
      <c r="I318" s="28">
        <v>74</v>
      </c>
      <c r="J318" s="28" t="s">
        <v>130</v>
      </c>
      <c r="K318" s="10">
        <v>30</v>
      </c>
      <c r="L318" s="47">
        <f>+((101325*(1-(2.25577*10^-5)*(K318))^5.25588))</f>
        <v>100965.12412724759</v>
      </c>
      <c r="M318" s="10">
        <f t="shared" si="287"/>
        <v>1.0096512412724759</v>
      </c>
      <c r="N318" s="10" t="s">
        <v>15</v>
      </c>
      <c r="O318" s="10">
        <f>_xll.HumidairTdbRHPsi(H318,I318,M318,N318)</f>
        <v>2.0067599947480714E-2</v>
      </c>
      <c r="P318" s="49">
        <f>+O318*1000</f>
        <v>20.067599947480716</v>
      </c>
      <c r="Q318" s="31"/>
      <c r="R318" s="58">
        <v>20.067599947480716</v>
      </c>
      <c r="S318" s="4"/>
      <c r="T318" s="10">
        <v>12</v>
      </c>
      <c r="U318" s="10" t="s">
        <v>144</v>
      </c>
      <c r="V318" s="78">
        <f>_xll.HumidairTdbRHPsi(H318, I318,M318,U318)</f>
        <v>24.858485567074183</v>
      </c>
      <c r="W318" s="79">
        <v>24.858485567074183</v>
      </c>
      <c r="X318" s="4"/>
      <c r="Y318" s="10">
        <v>12</v>
      </c>
      <c r="Z318" s="10" t="s">
        <v>145</v>
      </c>
      <c r="AA318" s="78">
        <f>_xll.HumidairTdbRHPsi(H318,I318,M318,Z318)</f>
        <v>81.461512142388045</v>
      </c>
      <c r="AB318" s="81">
        <f t="shared" si="297"/>
        <v>118.46151214238805</v>
      </c>
      <c r="AC318" s="80">
        <v>118.46151214238805</v>
      </c>
      <c r="AE318" s="10" t="s">
        <v>146</v>
      </c>
      <c r="AF318" s="78">
        <f>_xll.HumidairTdbRHPsi(H318,I318,M318,AE318)</f>
        <v>30.185814436208076</v>
      </c>
      <c r="AG318" s="81">
        <f t="shared" si="298"/>
        <v>67.185814436208076</v>
      </c>
      <c r="AH318" s="80">
        <v>67.185814436208076</v>
      </c>
      <c r="AJ318" s="10" t="s">
        <v>150</v>
      </c>
      <c r="AK318" s="84">
        <f>_xll.HumidairTdbRHPsi(H318,I318,M318,AJ318)</f>
        <v>0.86166164856039229</v>
      </c>
      <c r="AL318" s="58">
        <v>0.86166164856039229</v>
      </c>
      <c r="AN318" s="49">
        <f t="shared" si="288"/>
        <v>0.49300545855802169</v>
      </c>
      <c r="AO318" s="81">
        <f t="shared" si="299"/>
        <v>40.70462020070913</v>
      </c>
      <c r="AP318" s="81">
        <f t="shared" si="289"/>
        <v>99.430665894553741</v>
      </c>
      <c r="AR318" s="58">
        <v>0.49300545855802169</v>
      </c>
      <c r="AS318" s="155">
        <v>40.70462020070913</v>
      </c>
      <c r="AT318" s="155">
        <v>99.430665894553741</v>
      </c>
      <c r="AU318" s="140"/>
      <c r="AV318" s="49">
        <f t="shared" si="290"/>
        <v>0.14199454144197832</v>
      </c>
      <c r="AW318" s="162">
        <f t="shared" si="291"/>
        <v>1.4199454144197833E-4</v>
      </c>
      <c r="AX318" s="10">
        <f t="shared" si="292"/>
        <v>67</v>
      </c>
      <c r="AY318" s="55">
        <f t="shared" si="293"/>
        <v>7.9248573524182513E-3</v>
      </c>
      <c r="AZ318" s="55">
        <f t="shared" si="294"/>
        <v>4.6534687917899305E-3</v>
      </c>
      <c r="BB318" s="58">
        <v>0.14199454144197832</v>
      </c>
      <c r="BC318" s="167">
        <v>1.4199454144197833E-4</v>
      </c>
      <c r="BD318" s="168">
        <v>67</v>
      </c>
      <c r="BE318" s="170">
        <v>7.9248573524182513E-3</v>
      </c>
      <c r="BF318" s="171">
        <v>4.6534687917899305E-3</v>
      </c>
      <c r="BH318" s="81">
        <f t="shared" si="300"/>
        <v>324.52957744449299</v>
      </c>
      <c r="BI318" s="80">
        <v>324.52957744449299</v>
      </c>
      <c r="BK318" s="81">
        <f t="shared" si="301"/>
        <v>118.46151214238805</v>
      </c>
      <c r="BL318" s="81">
        <f t="shared" si="302"/>
        <v>67.185814436208076</v>
      </c>
      <c r="BM318" s="81">
        <f t="shared" si="303"/>
        <v>51.275697706179969</v>
      </c>
      <c r="BN318" s="192">
        <f t="shared" si="304"/>
        <v>0.43284689498600815</v>
      </c>
      <c r="BO318" s="81">
        <f t="shared" si="305"/>
        <v>67</v>
      </c>
      <c r="BP318" s="49">
        <f t="shared" si="306"/>
        <v>29.000741964062545</v>
      </c>
      <c r="BQ318" s="82">
        <f t="shared" si="307"/>
        <v>6232.0697229619918</v>
      </c>
      <c r="BS318" s="193">
        <v>6232.0697229619918</v>
      </c>
    </row>
    <row r="319" spans="1:71" x14ac:dyDescent="0.25">
      <c r="A319">
        <v>13</v>
      </c>
      <c r="C319" s="26" t="s">
        <v>49</v>
      </c>
      <c r="D319" s="27" t="s">
        <v>50</v>
      </c>
      <c r="E319" s="21" t="s">
        <v>51</v>
      </c>
      <c r="F319" s="33">
        <v>44248</v>
      </c>
      <c r="G319" s="29">
        <v>0.84097222222222223</v>
      </c>
      <c r="H319" s="28">
        <v>27</v>
      </c>
      <c r="I319" s="28">
        <v>81</v>
      </c>
      <c r="J319" s="28" t="s">
        <v>75</v>
      </c>
      <c r="K319" s="10">
        <v>3</v>
      </c>
      <c r="L319" s="47">
        <f>+((101325*(1-(2.25577*10^-5)*(K319))^5.25588))</f>
        <v>101288.96574192833</v>
      </c>
      <c r="M319" s="10">
        <f t="shared" si="287"/>
        <v>1.0128896574192834</v>
      </c>
      <c r="N319" s="10" t="s">
        <v>15</v>
      </c>
      <c r="O319" s="10">
        <f>_xll.HumidairTdbRHPsi(H319,I319,M319,N319)</f>
        <v>1.8344643297002899E-2</v>
      </c>
      <c r="P319" s="49">
        <f>+O319*1000</f>
        <v>18.3446432970029</v>
      </c>
      <c r="Q319" s="31"/>
      <c r="R319" s="58">
        <v>18.3446432970029</v>
      </c>
      <c r="S319" s="4"/>
      <c r="T319" s="10">
        <v>13</v>
      </c>
      <c r="U319" s="10" t="s">
        <v>144</v>
      </c>
      <c r="V319" s="78">
        <f>_xll.HumidairTdbRHPsi(H319, I319,M319,U319)</f>
        <v>23.460916915716894</v>
      </c>
      <c r="W319" s="79">
        <v>23.460916915716894</v>
      </c>
      <c r="X319" s="4"/>
      <c r="Y319" s="10">
        <v>13</v>
      </c>
      <c r="Z319" s="10" t="s">
        <v>145</v>
      </c>
      <c r="AA319" s="78">
        <f>_xll.HumidairTdbRHPsi(H319,I319,M319,Z319)</f>
        <v>73.936272540749925</v>
      </c>
      <c r="AB319" s="81">
        <f t="shared" si="297"/>
        <v>110.93627254074993</v>
      </c>
      <c r="AC319" s="80">
        <v>110.93627254074993</v>
      </c>
      <c r="AE319" s="10" t="s">
        <v>146</v>
      </c>
      <c r="AF319" s="78">
        <f>_xll.HumidairTdbRHPsi(H319,I319,M319,AE319)</f>
        <v>27.165399741037799</v>
      </c>
      <c r="AG319" s="81">
        <f t="shared" si="298"/>
        <v>64.165399741037803</v>
      </c>
      <c r="AH319" s="80">
        <v>64.165399741037803</v>
      </c>
      <c r="AJ319" s="10" t="s">
        <v>150</v>
      </c>
      <c r="AK319" s="84">
        <f>_xll.HumidairTdbRHPsi(H319,I319,M319,AJ319)</f>
        <v>0.85038396560416896</v>
      </c>
      <c r="AL319" s="58">
        <v>0.85038396560416896</v>
      </c>
      <c r="AN319" s="49">
        <f t="shared" si="288"/>
        <v>0.49954363364385446</v>
      </c>
      <c r="AO319" s="81">
        <f t="shared" si="299"/>
        <v>36.722804699141783</v>
      </c>
      <c r="AP319" s="81">
        <f t="shared" si="289"/>
        <v>89.704139401052629</v>
      </c>
      <c r="AR319" s="58">
        <v>0.49954363364385446</v>
      </c>
      <c r="AS319" s="155">
        <v>36.722804699141783</v>
      </c>
      <c r="AT319" s="155">
        <v>89.704139401052629</v>
      </c>
      <c r="AU319" s="140"/>
      <c r="AV319" s="49">
        <f t="shared" si="290"/>
        <v>0.13545636635614555</v>
      </c>
      <c r="AW319" s="162">
        <f t="shared" si="291"/>
        <v>1.3545636635614556E-4</v>
      </c>
      <c r="AX319" s="10">
        <f t="shared" si="292"/>
        <v>64</v>
      </c>
      <c r="AY319" s="55">
        <f t="shared" si="293"/>
        <v>7.221449803178832E-3</v>
      </c>
      <c r="AZ319" s="55">
        <f t="shared" si="294"/>
        <v>4.2404285397409465E-3</v>
      </c>
      <c r="BB319" s="58">
        <v>0.13545636635614555</v>
      </c>
      <c r="BC319" s="167">
        <v>1.3545636635614556E-4</v>
      </c>
      <c r="BD319" s="168">
        <v>64</v>
      </c>
      <c r="BE319" s="170">
        <v>7.221449803178832E-3</v>
      </c>
      <c r="BF319" s="171">
        <v>4.2404285397409465E-3</v>
      </c>
      <c r="BH319" s="81">
        <f t="shared" si="300"/>
        <v>328.833447028553</v>
      </c>
      <c r="BI319" s="80">
        <v>328.833447028553</v>
      </c>
      <c r="BK319" s="81">
        <f t="shared" si="301"/>
        <v>110.93627254074993</v>
      </c>
      <c r="BL319" s="81">
        <f t="shared" si="302"/>
        <v>64.165399741037803</v>
      </c>
      <c r="BM319" s="81">
        <f t="shared" si="303"/>
        <v>46.770872799712123</v>
      </c>
      <c r="BN319" s="192">
        <f t="shared" si="304"/>
        <v>0.42160126465878778</v>
      </c>
      <c r="BO319" s="81">
        <f t="shared" si="305"/>
        <v>64</v>
      </c>
      <c r="BP319" s="49">
        <f t="shared" si="306"/>
        <v>26.982480938162418</v>
      </c>
      <c r="BQ319" s="82">
        <f t="shared" si="307"/>
        <v>6363.1495461566756</v>
      </c>
      <c r="BS319" s="193">
        <v>6363.1495461566756</v>
      </c>
    </row>
    <row r="320" spans="1:71" x14ac:dyDescent="0.25">
      <c r="A320" s="5">
        <v>14</v>
      </c>
      <c r="B320" s="14"/>
      <c r="C320" s="9" t="s">
        <v>172</v>
      </c>
      <c r="D320" s="10" t="s">
        <v>83</v>
      </c>
      <c r="E320" s="4" t="s">
        <v>84</v>
      </c>
      <c r="F320" s="33">
        <v>44248</v>
      </c>
      <c r="G320" s="29">
        <v>0.63194444444444442</v>
      </c>
      <c r="H320" s="28">
        <v>32</v>
      </c>
      <c r="I320" s="28">
        <v>52</v>
      </c>
      <c r="J320" s="28" t="s">
        <v>131</v>
      </c>
      <c r="K320" s="10">
        <v>61</v>
      </c>
      <c r="L320" s="47">
        <f>+((101325*(1-(2.25577*10^-5)*(K320))^5.25588))</f>
        <v>100594.34040699142</v>
      </c>
      <c r="M320" s="10">
        <f t="shared" si="287"/>
        <v>1.0059434040699142</v>
      </c>
      <c r="N320" s="10" t="s">
        <v>15</v>
      </c>
      <c r="O320" s="10">
        <f>_xll.HumidairTdbRHPsi(H320,I320,M320,N320)</f>
        <v>1.5756392064775606E-2</v>
      </c>
      <c r="P320" s="49">
        <f>+O320*1000</f>
        <v>15.756392064775605</v>
      </c>
      <c r="Q320" s="31"/>
      <c r="R320" s="58">
        <v>15.756392064775605</v>
      </c>
      <c r="S320" s="4"/>
      <c r="T320" s="10">
        <v>14</v>
      </c>
      <c r="U320" s="10" t="s">
        <v>144</v>
      </c>
      <c r="V320" s="78">
        <f>_xll.HumidairTdbRHPsi(H320, I320,M320,U320)</f>
        <v>20.918779265720957</v>
      </c>
      <c r="W320" s="79">
        <v>20.918779265720957</v>
      </c>
      <c r="X320" s="4"/>
      <c r="Y320" s="10">
        <v>14</v>
      </c>
      <c r="Z320" s="10" t="s">
        <v>145</v>
      </c>
      <c r="AA320" s="78">
        <f>_xll.HumidairTdbRHPsi(H320,I320,M320,Z320)</f>
        <v>72.523127125375353</v>
      </c>
      <c r="AB320" s="81">
        <f t="shared" si="297"/>
        <v>109.52312712537535</v>
      </c>
      <c r="AC320" s="80">
        <v>109.52312712537535</v>
      </c>
      <c r="AE320" s="10" t="s">
        <v>146</v>
      </c>
      <c r="AF320" s="78">
        <f>_xll.HumidairTdbRHPsi(H320,I320,M320,AE320)</f>
        <v>32.199936526818696</v>
      </c>
      <c r="AG320" s="81">
        <f t="shared" si="298"/>
        <v>69.199936526818703</v>
      </c>
      <c r="AH320" s="80">
        <v>69.199936526818703</v>
      </c>
      <c r="AJ320" s="10" t="s">
        <v>150</v>
      </c>
      <c r="AK320" s="84">
        <f>_xll.HumidairTdbRHPsi(H320,I320,M320,AJ320)</f>
        <v>0.87055874606862371</v>
      </c>
      <c r="AL320" s="58">
        <v>0.87055874606862371</v>
      </c>
      <c r="AN320" s="49">
        <f t="shared" si="288"/>
        <v>0.48796695006369051</v>
      </c>
      <c r="AO320" s="81">
        <f t="shared" si="299"/>
        <v>32.28987549816447</v>
      </c>
      <c r="AP320" s="81">
        <f t="shared" si="289"/>
        <v>78.875660959460205</v>
      </c>
      <c r="AR320" s="58">
        <v>0.48796695006369051</v>
      </c>
      <c r="AS320" s="155">
        <v>32.28987549816447</v>
      </c>
      <c r="AT320" s="155">
        <v>78.875660959460205</v>
      </c>
      <c r="AU320" s="140"/>
      <c r="AV320" s="49">
        <f t="shared" si="290"/>
        <v>0.1470330499363095</v>
      </c>
      <c r="AW320" s="162">
        <f t="shared" si="291"/>
        <v>1.4703304993630951E-4</v>
      </c>
      <c r="AX320" s="10">
        <f t="shared" si="292"/>
        <v>69</v>
      </c>
      <c r="AY320" s="55">
        <f t="shared" si="293"/>
        <v>8.4510186111892618E-3</v>
      </c>
      <c r="AZ320" s="55">
        <f t="shared" si="294"/>
        <v>4.9624301886020327E-3</v>
      </c>
      <c r="BB320" s="58">
        <v>0.1470330499363095</v>
      </c>
      <c r="BC320" s="167">
        <v>1.4703304993630951E-4</v>
      </c>
      <c r="BD320" s="168">
        <v>69</v>
      </c>
      <c r="BE320" s="170">
        <v>8.4510186111892618E-3</v>
      </c>
      <c r="BF320" s="171">
        <v>4.9624301886020327E-3</v>
      </c>
      <c r="BH320" s="81">
        <f t="shared" si="300"/>
        <v>321.21288996318526</v>
      </c>
      <c r="BI320" s="80">
        <v>321.21288996318526</v>
      </c>
      <c r="BK320" s="81">
        <f t="shared" si="301"/>
        <v>109.52312712537535</v>
      </c>
      <c r="BL320" s="81">
        <f t="shared" si="302"/>
        <v>69.199936526818703</v>
      </c>
      <c r="BM320" s="81">
        <f t="shared" si="303"/>
        <v>40.32319059855665</v>
      </c>
      <c r="BN320" s="192">
        <f t="shared" si="304"/>
        <v>0.36817055590822506</v>
      </c>
      <c r="BO320" s="81">
        <f t="shared" si="305"/>
        <v>69</v>
      </c>
      <c r="BP320" s="49">
        <f t="shared" si="306"/>
        <v>25.403768357667531</v>
      </c>
      <c r="BQ320" s="82">
        <f t="shared" si="307"/>
        <v>5119.2192921960341</v>
      </c>
      <c r="BS320" s="193">
        <v>5119.2192921960341</v>
      </c>
    </row>
    <row r="321" spans="1:71" x14ac:dyDescent="0.25">
      <c r="A321">
        <v>15</v>
      </c>
      <c r="C321" s="9" t="s">
        <v>52</v>
      </c>
      <c r="D321" s="10" t="s">
        <v>53</v>
      </c>
      <c r="E321" s="4" t="s">
        <v>54</v>
      </c>
      <c r="F321" s="33">
        <v>44248</v>
      </c>
      <c r="G321" s="29">
        <v>0.38958333333333334</v>
      </c>
      <c r="H321" s="28">
        <v>14</v>
      </c>
      <c r="I321" s="28">
        <v>70</v>
      </c>
      <c r="J321" s="28" t="s">
        <v>100</v>
      </c>
      <c r="K321" s="10">
        <v>533</v>
      </c>
      <c r="L321" s="47">
        <f t="shared" ref="L321:L326" si="308">+((101325*(1-(2.25577*10^-5)*(K321))^5.25588))</f>
        <v>95083.68775760736</v>
      </c>
      <c r="M321" s="10">
        <f t="shared" si="287"/>
        <v>0.9508368775760736</v>
      </c>
      <c r="N321" s="10" t="s">
        <v>15</v>
      </c>
      <c r="O321" s="10">
        <f>_xll.HumidairTdbRHPsi(H321,I321,M321,N321)</f>
        <v>7.4358256086543466E-3</v>
      </c>
      <c r="P321" s="49">
        <f t="shared" ref="P321:P326" si="309">+O321*1000</f>
        <v>7.4358256086543468</v>
      </c>
      <c r="Q321" s="31"/>
      <c r="R321" s="58">
        <v>7.4358256086543468</v>
      </c>
      <c r="S321" s="4"/>
      <c r="T321" s="10">
        <v>15</v>
      </c>
      <c r="U321" s="10" t="s">
        <v>144</v>
      </c>
      <c r="V321" s="78">
        <f>_xll.HumidairTdbRHPsi(H321, I321,M321,U321)</f>
        <v>8.6219781367041151</v>
      </c>
      <c r="W321" s="79">
        <v>8.6219781367041151</v>
      </c>
      <c r="X321" s="4"/>
      <c r="Y321" s="10">
        <v>15</v>
      </c>
      <c r="Z321" s="10" t="s">
        <v>145</v>
      </c>
      <c r="AA321" s="78">
        <f>_xll.HumidairTdbRHPsi(H321,I321,M321,Z321)</f>
        <v>32.881001186353636</v>
      </c>
      <c r="AB321" s="81">
        <f t="shared" si="297"/>
        <v>69.881001186353643</v>
      </c>
      <c r="AC321" s="80">
        <v>69.881001186353643</v>
      </c>
      <c r="AE321" s="10" t="s">
        <v>146</v>
      </c>
      <c r="AF321" s="78">
        <f>_xll.HumidairTdbRHPsi(H321,I321,M321,AE321)</f>
        <v>14.099013873962138</v>
      </c>
      <c r="AG321" s="81">
        <f t="shared" si="298"/>
        <v>51.099013873962136</v>
      </c>
      <c r="AH321" s="80">
        <v>51.099013873962136</v>
      </c>
      <c r="AJ321" s="10" t="s">
        <v>150</v>
      </c>
      <c r="AK321" s="84">
        <f>_xll.HumidairTdbRHPsi(H321,I321,M321,AJ321)</f>
        <v>0.86655791151787942</v>
      </c>
      <c r="AL321" s="58">
        <v>0.86655791151787942</v>
      </c>
      <c r="AN321" s="49">
        <f t="shared" si="288"/>
        <v>0.49021985781225225</v>
      </c>
      <c r="AO321" s="81">
        <f t="shared" si="299"/>
        <v>15.168348426028409</v>
      </c>
      <c r="AP321" s="81">
        <f t="shared" si="289"/>
        <v>37.052279988951618</v>
      </c>
      <c r="AR321" s="58">
        <v>0.49021985781225225</v>
      </c>
      <c r="AS321" s="155">
        <v>15.168348426028409</v>
      </c>
      <c r="AT321" s="155">
        <v>37.052279988951618</v>
      </c>
      <c r="AU321" s="140"/>
      <c r="AV321" s="49">
        <f t="shared" si="290"/>
        <v>0.14478014218774776</v>
      </c>
      <c r="AW321" s="162">
        <f t="shared" si="291"/>
        <v>1.4478014218774777E-4</v>
      </c>
      <c r="AX321" s="10">
        <f t="shared" si="292"/>
        <v>51</v>
      </c>
      <c r="AY321" s="55">
        <f t="shared" si="293"/>
        <v>6.1506947805620889E-3</v>
      </c>
      <c r="AZ321" s="55">
        <f t="shared" si="294"/>
        <v>3.6116821964545442E-3</v>
      </c>
      <c r="BB321" s="58">
        <v>0.14478014218774776</v>
      </c>
      <c r="BC321" s="167">
        <v>1.4478014218774777E-4</v>
      </c>
      <c r="BD321" s="168">
        <v>51</v>
      </c>
      <c r="BE321" s="170">
        <v>6.1506947805620889E-3</v>
      </c>
      <c r="BF321" s="171">
        <v>3.6116821964545442E-3</v>
      </c>
      <c r="BH321" s="81">
        <f t="shared" si="300"/>
        <v>322.69590640239596</v>
      </c>
      <c r="BI321" s="80">
        <v>322.69590640239596</v>
      </c>
      <c r="BK321" s="81">
        <f t="shared" si="301"/>
        <v>69.881001186353643</v>
      </c>
      <c r="BL321" s="81">
        <f t="shared" si="302"/>
        <v>51.099013873962136</v>
      </c>
      <c r="BM321" s="81">
        <f t="shared" si="303"/>
        <v>18.781987312391507</v>
      </c>
      <c r="BN321" s="192">
        <f t="shared" si="304"/>
        <v>0.26877101062569281</v>
      </c>
      <c r="BO321" s="81">
        <f t="shared" si="305"/>
        <v>51</v>
      </c>
      <c r="BP321" s="49">
        <f t="shared" si="306"/>
        <v>13.707321541910334</v>
      </c>
      <c r="BQ321" s="82">
        <f t="shared" si="307"/>
        <v>3795.2734477486165</v>
      </c>
      <c r="BS321" s="193">
        <v>3795.2734477486165</v>
      </c>
    </row>
    <row r="322" spans="1:71" x14ac:dyDescent="0.25">
      <c r="A322">
        <v>16</v>
      </c>
      <c r="C322" s="9" t="s">
        <v>55</v>
      </c>
      <c r="D322" s="10" t="s">
        <v>56</v>
      </c>
      <c r="E322" s="11" t="s">
        <v>57</v>
      </c>
      <c r="F322" s="33">
        <v>44248</v>
      </c>
      <c r="G322" s="29">
        <v>0.59791666666666665</v>
      </c>
      <c r="H322" s="28">
        <v>24</v>
      </c>
      <c r="I322" s="28">
        <v>53</v>
      </c>
      <c r="J322" s="28" t="s">
        <v>90</v>
      </c>
      <c r="K322" s="10">
        <v>61</v>
      </c>
      <c r="L322" s="47">
        <f t="shared" si="308"/>
        <v>100594.34040699142</v>
      </c>
      <c r="M322" s="10">
        <f t="shared" si="287"/>
        <v>1.0059434040699142</v>
      </c>
      <c r="N322" s="10" t="s">
        <v>15</v>
      </c>
      <c r="O322" s="10">
        <f>_xll.HumidairTdbRHPsi(H322,I322,M322,N322)</f>
        <v>9.9805332543569172E-3</v>
      </c>
      <c r="P322" s="49">
        <f t="shared" si="309"/>
        <v>9.9805332543569172</v>
      </c>
      <c r="Q322" s="31"/>
      <c r="R322" s="58">
        <v>9.9805332543569172</v>
      </c>
      <c r="S322" s="4"/>
      <c r="T322" s="10">
        <v>16</v>
      </c>
      <c r="U322" s="10" t="s">
        <v>144</v>
      </c>
      <c r="V322" s="78">
        <f>_xll.HumidairTdbRHPsi(H322, I322,M322,U322)</f>
        <v>13.842782225634892</v>
      </c>
      <c r="W322" s="79">
        <v>13.842782225634892</v>
      </c>
      <c r="X322" s="4"/>
      <c r="Y322" s="10">
        <v>16</v>
      </c>
      <c r="Z322" s="10" t="s">
        <v>145</v>
      </c>
      <c r="AA322" s="78">
        <f>_xll.HumidairTdbRHPsi(H322,I322,M322,Z322)</f>
        <v>49.54234985987879</v>
      </c>
      <c r="AB322" s="81">
        <f t="shared" si="297"/>
        <v>86.542349859878783</v>
      </c>
      <c r="AC322" s="80">
        <v>86.542349859878783</v>
      </c>
      <c r="AE322" s="10" t="s">
        <v>146</v>
      </c>
      <c r="AF322" s="78">
        <f>_xll.HumidairTdbRHPsi(H322,I322,M322,AE322)</f>
        <v>24.147640843649611</v>
      </c>
      <c r="AG322" s="81">
        <f t="shared" si="298"/>
        <v>61.147640843649611</v>
      </c>
      <c r="AH322" s="80">
        <v>61.147640843649611</v>
      </c>
      <c r="AJ322" s="10" t="s">
        <v>150</v>
      </c>
      <c r="AK322" s="84">
        <f>_xll.HumidairTdbRHPsi(H322,I322,M322,AJ322)</f>
        <v>0.84767649181600246</v>
      </c>
      <c r="AL322" s="58">
        <v>0.84767649181600246</v>
      </c>
      <c r="AN322" s="49">
        <f t="shared" si="288"/>
        <v>0.50113917310636658</v>
      </c>
      <c r="AO322" s="81">
        <f t="shared" si="299"/>
        <v>19.915691668028021</v>
      </c>
      <c r="AP322" s="81">
        <f t="shared" si="289"/>
        <v>48.648789118738506</v>
      </c>
      <c r="AR322" s="58">
        <v>0.50113917310636658</v>
      </c>
      <c r="AS322" s="155">
        <v>19.915691668028021</v>
      </c>
      <c r="AT322" s="155">
        <v>48.648789118738506</v>
      </c>
      <c r="AU322" s="140"/>
      <c r="AV322" s="49">
        <f t="shared" si="290"/>
        <v>0.13386082689363343</v>
      </c>
      <c r="AW322" s="162">
        <f t="shared" si="291"/>
        <v>1.3386082689363342E-4</v>
      </c>
      <c r="AX322" s="10">
        <f t="shared" si="292"/>
        <v>61</v>
      </c>
      <c r="AY322" s="55">
        <f t="shared" si="293"/>
        <v>6.8018701969461944E-3</v>
      </c>
      <c r="AZ322" s="55">
        <f t="shared" si="294"/>
        <v>3.9940517891639427E-3</v>
      </c>
      <c r="BB322" s="58">
        <v>0.13386082689363343</v>
      </c>
      <c r="BC322" s="167">
        <v>1.3386082689363342E-4</v>
      </c>
      <c r="BD322" s="168">
        <v>61</v>
      </c>
      <c r="BE322" s="170">
        <v>6.8018701969461944E-3</v>
      </c>
      <c r="BF322" s="171">
        <v>3.9940517891639427E-3</v>
      </c>
      <c r="BH322" s="81">
        <f t="shared" si="300"/>
        <v>329.88373914718301</v>
      </c>
      <c r="BI322" s="80">
        <v>329.88373914718301</v>
      </c>
      <c r="BK322" s="81">
        <f t="shared" si="301"/>
        <v>86.542349859878783</v>
      </c>
      <c r="BL322" s="81">
        <f t="shared" si="302"/>
        <v>61.147640843649611</v>
      </c>
      <c r="BM322" s="81">
        <f t="shared" si="303"/>
        <v>25.394709016229172</v>
      </c>
      <c r="BN322" s="192">
        <f t="shared" si="304"/>
        <v>0.29343678623640207</v>
      </c>
      <c r="BO322" s="81">
        <f t="shared" si="305"/>
        <v>61</v>
      </c>
      <c r="BP322" s="49">
        <f t="shared" si="306"/>
        <v>17.899643960420526</v>
      </c>
      <c r="BQ322" s="82">
        <f t="shared" si="307"/>
        <v>4481.5753288385331</v>
      </c>
      <c r="BS322" s="193">
        <v>4481.5753288385331</v>
      </c>
    </row>
    <row r="323" spans="1:71" x14ac:dyDescent="0.25">
      <c r="A323">
        <v>17</v>
      </c>
      <c r="B323" s="1" t="s">
        <v>58</v>
      </c>
      <c r="C323" s="15" t="s">
        <v>59</v>
      </c>
      <c r="D323" s="16" t="s">
        <v>60</v>
      </c>
      <c r="E323" s="4" t="s">
        <v>61</v>
      </c>
      <c r="F323" s="33">
        <v>44248</v>
      </c>
      <c r="G323" s="29">
        <v>0.97013888888888899</v>
      </c>
      <c r="H323" s="28">
        <v>12</v>
      </c>
      <c r="I323" s="28">
        <v>45</v>
      </c>
      <c r="J323" s="36" t="s">
        <v>87</v>
      </c>
      <c r="K323" s="10">
        <v>9</v>
      </c>
      <c r="L323" s="47">
        <f t="shared" si="308"/>
        <v>101216.9283556498</v>
      </c>
      <c r="M323" s="10">
        <f t="shared" si="287"/>
        <v>1.0121692835564979</v>
      </c>
      <c r="N323" s="10" t="s">
        <v>15</v>
      </c>
      <c r="O323" s="10">
        <f>_xll.HumidairTdbRHPsi(H323,I323,M323,N323)</f>
        <v>3.9183915455296746E-3</v>
      </c>
      <c r="P323" s="49">
        <f t="shared" si="309"/>
        <v>3.9183915455296745</v>
      </c>
      <c r="Q323" s="31"/>
      <c r="R323" s="58">
        <v>3.9183915455296745</v>
      </c>
      <c r="S323" s="4"/>
      <c r="T323" s="10">
        <v>17</v>
      </c>
      <c r="U323" s="10" t="s">
        <v>144</v>
      </c>
      <c r="V323" s="78">
        <f>_xll.HumidairTdbRHPsi(H323, I323,M323,U323)</f>
        <v>0.44317003519972786</v>
      </c>
      <c r="W323" s="79">
        <v>0.44317003519972786</v>
      </c>
      <c r="X323" s="4"/>
      <c r="Y323" s="10">
        <v>17</v>
      </c>
      <c r="Z323" s="10" t="s">
        <v>145</v>
      </c>
      <c r="AA323" s="78">
        <f>_xll.HumidairTdbRHPsi(H323,I323,M323,Z323)</f>
        <v>21.954955022449049</v>
      </c>
      <c r="AB323" s="81">
        <f t="shared" si="297"/>
        <v>58.954955022449049</v>
      </c>
      <c r="AC323" s="80">
        <v>58.954955022449049</v>
      </c>
      <c r="AE323" s="10" t="s">
        <v>146</v>
      </c>
      <c r="AF323" s="78">
        <f>_xll.HumidairTdbRHPsi(H323,I323,M323,AE323)</f>
        <v>12.071520699860102</v>
      </c>
      <c r="AG323" s="81">
        <f t="shared" si="298"/>
        <v>49.071520699860102</v>
      </c>
      <c r="AH323" s="80">
        <v>49.071520699860102</v>
      </c>
      <c r="AJ323" s="10" t="s">
        <v>150</v>
      </c>
      <c r="AK323" s="84">
        <f>_xll.HumidairTdbRHPsi(H323,I323,M323,AJ323)</f>
        <v>0.80834107140145739</v>
      </c>
      <c r="AL323" s="58">
        <v>0.80834107140145739</v>
      </c>
      <c r="AN323" s="49">
        <f t="shared" si="288"/>
        <v>0.52552556241374138</v>
      </c>
      <c r="AO323" s="81">
        <f t="shared" si="299"/>
        <v>7.4561388175533914</v>
      </c>
      <c r="AP323" s="81">
        <f t="shared" si="289"/>
        <v>18.213383246815027</v>
      </c>
      <c r="AR323" s="58">
        <v>0.52552556241374138</v>
      </c>
      <c r="AS323" s="155">
        <v>7.4561388175533914</v>
      </c>
      <c r="AT323" s="155">
        <v>18.213383246815027</v>
      </c>
      <c r="AU323" s="140"/>
      <c r="AV323" s="49">
        <f t="shared" si="290"/>
        <v>0.10947443758625863</v>
      </c>
      <c r="AW323" s="162">
        <f t="shared" si="291"/>
        <v>1.0947443758625863E-4</v>
      </c>
      <c r="AX323" s="10">
        <f t="shared" si="292"/>
        <v>49</v>
      </c>
      <c r="AY323" s="55">
        <f t="shared" si="293"/>
        <v>4.4684181189583181E-3</v>
      </c>
      <c r="AZ323" s="55">
        <f t="shared" si="294"/>
        <v>2.6238509212908501E-3</v>
      </c>
      <c r="BB323" s="58">
        <v>0.10947443758625863</v>
      </c>
      <c r="BC323" s="167">
        <v>1.0947443758625863E-4</v>
      </c>
      <c r="BD323" s="168">
        <v>49</v>
      </c>
      <c r="BE323" s="170">
        <v>4.4684181189583181E-3</v>
      </c>
      <c r="BF323" s="171">
        <v>2.6238509212908501E-3</v>
      </c>
      <c r="BH323" s="81">
        <f t="shared" si="300"/>
        <v>345.93651195109271</v>
      </c>
      <c r="BI323" s="80">
        <v>345.93651195109271</v>
      </c>
      <c r="BK323" s="81">
        <f t="shared" si="301"/>
        <v>58.954955022449049</v>
      </c>
      <c r="BL323" s="81">
        <f t="shared" si="302"/>
        <v>49.071520699860102</v>
      </c>
      <c r="BM323" s="81">
        <f t="shared" si="303"/>
        <v>9.8834343225889469</v>
      </c>
      <c r="BN323" s="192">
        <f t="shared" si="304"/>
        <v>0.16764382771262404</v>
      </c>
      <c r="BO323" s="81">
        <f t="shared" si="305"/>
        <v>49</v>
      </c>
      <c r="BP323" s="49">
        <f t="shared" si="306"/>
        <v>8.2145475579185785</v>
      </c>
      <c r="BQ323" s="82">
        <f t="shared" si="307"/>
        <v>3130.7219062115337</v>
      </c>
      <c r="BS323" s="193">
        <v>3130.7219062115337</v>
      </c>
    </row>
    <row r="324" spans="1:71" x14ac:dyDescent="0.25">
      <c r="A324">
        <v>18</v>
      </c>
      <c r="C324" s="9" t="s">
        <v>62</v>
      </c>
      <c r="D324" s="10" t="s">
        <v>63</v>
      </c>
      <c r="E324" s="11" t="s">
        <v>64</v>
      </c>
      <c r="F324" s="33">
        <v>44614</v>
      </c>
      <c r="G324" s="29">
        <v>4.7222222222222221E-2</v>
      </c>
      <c r="H324" s="28">
        <v>15</v>
      </c>
      <c r="I324" s="28">
        <v>87</v>
      </c>
      <c r="J324" s="28" t="s">
        <v>88</v>
      </c>
      <c r="K324" s="10">
        <v>6</v>
      </c>
      <c r="L324" s="47">
        <f t="shared" si="308"/>
        <v>101252.94186124044</v>
      </c>
      <c r="M324" s="10">
        <f t="shared" si="287"/>
        <v>1.0125294186124043</v>
      </c>
      <c r="N324" s="10" t="s">
        <v>15</v>
      </c>
      <c r="O324" s="10">
        <f>_xll.HumidairTdbRHPsi(H324,I324,M324,N324)</f>
        <v>9.2873522868494093E-3</v>
      </c>
      <c r="P324" s="49">
        <f t="shared" si="309"/>
        <v>9.2873522868494085</v>
      </c>
      <c r="Q324" s="31"/>
      <c r="R324" s="58">
        <v>9.2873522868494085</v>
      </c>
      <c r="S324" s="4"/>
      <c r="T324" s="82">
        <v>18</v>
      </c>
      <c r="U324" s="10" t="s">
        <v>144</v>
      </c>
      <c r="V324" s="78">
        <f>_xll.HumidairTdbRHPsi(H324, I324,M324,U324)</f>
        <v>12.856194163980092</v>
      </c>
      <c r="W324" s="79">
        <v>12.856194163980092</v>
      </c>
      <c r="X324" s="4"/>
      <c r="Y324" s="82">
        <v>18</v>
      </c>
      <c r="Z324" s="10" t="s">
        <v>145</v>
      </c>
      <c r="AA324" s="78">
        <f>_xll.HumidairTdbRHPsi(H324,I324,M324,Z324)</f>
        <v>38.563753229780893</v>
      </c>
      <c r="AB324" s="81">
        <f t="shared" si="297"/>
        <v>75.5637532297809</v>
      </c>
      <c r="AC324" s="80">
        <v>75.5637532297809</v>
      </c>
      <c r="AE324" s="10" t="s">
        <v>146</v>
      </c>
      <c r="AF324" s="78">
        <f>_xll.HumidairTdbRHPsi(H324,I324,M324,AE324)</f>
        <v>15.089723229160258</v>
      </c>
      <c r="AG324" s="81">
        <f t="shared" si="298"/>
        <v>52.089723229160256</v>
      </c>
      <c r="AH324" s="80">
        <v>52.089723229160256</v>
      </c>
      <c r="AJ324" s="10" t="s">
        <v>150</v>
      </c>
      <c r="AK324" s="84">
        <f>_xll.HumidairTdbRHPsi(H324,I324,M324,AJ324)</f>
        <v>0.8165811695554519</v>
      </c>
      <c r="AL324" s="58">
        <v>0.8165811695554519</v>
      </c>
      <c r="AN324" s="49">
        <f t="shared" si="288"/>
        <v>0.52022249839736201</v>
      </c>
      <c r="AO324" s="81">
        <f t="shared" si="299"/>
        <v>17.852654038340805</v>
      </c>
      <c r="AP324" s="81">
        <f t="shared" si="289"/>
        <v>43.609331576232115</v>
      </c>
      <c r="AR324" s="58">
        <v>0.52022249839736201</v>
      </c>
      <c r="AS324" s="155">
        <v>17.852654038340805</v>
      </c>
      <c r="AT324" s="155">
        <v>43.609331576232115</v>
      </c>
      <c r="AU324" s="140"/>
      <c r="AV324" s="49">
        <f t="shared" si="290"/>
        <v>0.114777501602638</v>
      </c>
      <c r="AW324" s="162">
        <f t="shared" si="291"/>
        <v>1.14777501602638E-4</v>
      </c>
      <c r="AX324" s="10">
        <f t="shared" si="292"/>
        <v>52</v>
      </c>
      <c r="AY324" s="55">
        <f t="shared" si="293"/>
        <v>4.9717022594198673E-3</v>
      </c>
      <c r="AZ324" s="55">
        <f t="shared" si="294"/>
        <v>2.9193788957251128E-3</v>
      </c>
      <c r="BB324" s="58">
        <v>0.114777501602638</v>
      </c>
      <c r="BC324" s="167">
        <v>1.14777501602638E-4</v>
      </c>
      <c r="BD324" s="168">
        <v>52</v>
      </c>
      <c r="BE324" s="170">
        <v>4.9717022594198673E-3</v>
      </c>
      <c r="BF324" s="171">
        <v>2.9193788957251128E-3</v>
      </c>
      <c r="BH324" s="81">
        <f t="shared" si="300"/>
        <v>342.44567611038951</v>
      </c>
      <c r="BI324" s="80">
        <v>342.44567611038951</v>
      </c>
      <c r="BK324" s="81">
        <f t="shared" si="301"/>
        <v>75.5637532297809</v>
      </c>
      <c r="BL324" s="81">
        <f t="shared" si="302"/>
        <v>52.089723229160256</v>
      </c>
      <c r="BM324" s="81">
        <f t="shared" si="303"/>
        <v>23.474030000620644</v>
      </c>
      <c r="BN324" s="192">
        <f t="shared" si="304"/>
        <v>0.31065198586998122</v>
      </c>
      <c r="BO324" s="81">
        <f t="shared" si="305"/>
        <v>52</v>
      </c>
      <c r="BP324" s="49">
        <f t="shared" si="306"/>
        <v>16.153903265239023</v>
      </c>
      <c r="BQ324" s="82">
        <f t="shared" si="307"/>
        <v>5533.3356313883778</v>
      </c>
      <c r="BS324" s="193">
        <v>5533.3356313883778</v>
      </c>
    </row>
    <row r="325" spans="1:71" x14ac:dyDescent="0.25">
      <c r="A325" s="5">
        <v>19</v>
      </c>
      <c r="B325" s="14"/>
      <c r="C325" s="15" t="s">
        <v>65</v>
      </c>
      <c r="D325" s="16" t="s">
        <v>66</v>
      </c>
      <c r="E325" s="4" t="s">
        <v>67</v>
      </c>
      <c r="F325" s="33">
        <v>44248</v>
      </c>
      <c r="G325" s="29">
        <v>0.39027777777777778</v>
      </c>
      <c r="H325" s="28">
        <v>6</v>
      </c>
      <c r="I325" s="28">
        <v>81</v>
      </c>
      <c r="J325" s="28" t="s">
        <v>90</v>
      </c>
      <c r="K325" s="10">
        <v>15</v>
      </c>
      <c r="L325" s="47">
        <f t="shared" si="308"/>
        <v>101144.93246061618</v>
      </c>
      <c r="M325" s="10">
        <f t="shared" si="287"/>
        <v>1.0114493246061618</v>
      </c>
      <c r="N325" s="10" t="s">
        <v>15</v>
      </c>
      <c r="O325" s="10">
        <f>_xll.HumidairTdbRHPsi(H325,I325,M325,N325)</f>
        <v>4.7121690769089146E-3</v>
      </c>
      <c r="P325" s="49">
        <f t="shared" si="309"/>
        <v>4.7121690769089142</v>
      </c>
      <c r="Q325" s="31"/>
      <c r="R325" s="58">
        <v>4.7121690769089142</v>
      </c>
      <c r="S325" s="4"/>
      <c r="T325" s="82">
        <v>19</v>
      </c>
      <c r="U325" s="10" t="s">
        <v>144</v>
      </c>
      <c r="V325" s="78">
        <f>_xll.HumidairTdbRHPsi(H325, I325,M325,U325)</f>
        <v>2.9909658817765603</v>
      </c>
      <c r="W325" s="79">
        <v>2.9909658817765603</v>
      </c>
      <c r="X325" s="4"/>
      <c r="Y325" s="82">
        <v>19</v>
      </c>
      <c r="Z325" s="10" t="s">
        <v>145</v>
      </c>
      <c r="AA325" s="78">
        <f>_xll.HumidairTdbRHPsi(H325,I325,M325,Z325)</f>
        <v>17.868025092614019</v>
      </c>
      <c r="AB325" s="81">
        <f t="shared" si="297"/>
        <v>54.868025092614019</v>
      </c>
      <c r="AC325" s="80">
        <v>54.868025092614019</v>
      </c>
      <c r="AE325" s="10" t="s">
        <v>146</v>
      </c>
      <c r="AF325" s="78">
        <f>_xll.HumidairTdbRHPsi(H325,I325,M325,AE325)</f>
        <v>6.0357536010525568</v>
      </c>
      <c r="AG325" s="81">
        <f t="shared" si="298"/>
        <v>43.035753601052555</v>
      </c>
      <c r="AH325" s="80">
        <v>43.035753601052555</v>
      </c>
      <c r="AJ325" s="10" t="s">
        <v>150</v>
      </c>
      <c r="AK325" s="84">
        <f>_xll.HumidairTdbRHPsi(H325,I325,M325,AJ325)</f>
        <v>0.79184128452611546</v>
      </c>
      <c r="AL325" s="58">
        <v>0.79184128452611546</v>
      </c>
      <c r="AN325" s="49">
        <f t="shared" si="288"/>
        <v>0.53647606467577003</v>
      </c>
      <c r="AO325" s="81">
        <f t="shared" si="299"/>
        <v>8.7835588336206705</v>
      </c>
      <c r="AP325" s="81">
        <f t="shared" si="289"/>
        <v>21.455920714761465</v>
      </c>
      <c r="AR325" s="58">
        <v>0.53647606467577003</v>
      </c>
      <c r="AS325" s="155">
        <v>8.7835588336206705</v>
      </c>
      <c r="AT325" s="155">
        <v>21.455920714761465</v>
      </c>
      <c r="AU325" s="140"/>
      <c r="AV325" s="49">
        <f t="shared" si="290"/>
        <v>9.8523935324229983E-2</v>
      </c>
      <c r="AW325" s="162">
        <f t="shared" si="291"/>
        <v>9.8523935324229978E-5</v>
      </c>
      <c r="AX325" s="10">
        <f t="shared" si="292"/>
        <v>43</v>
      </c>
      <c r="AY325" s="55">
        <f t="shared" si="293"/>
        <v>3.5290288393785936E-3</v>
      </c>
      <c r="AZ325" s="55">
        <f t="shared" si="294"/>
        <v>2.0722424188952399E-3</v>
      </c>
      <c r="BB325" s="58">
        <v>9.8523935324229983E-2</v>
      </c>
      <c r="BC325" s="167">
        <v>9.8523935324229978E-5</v>
      </c>
      <c r="BD325" s="168">
        <v>43</v>
      </c>
      <c r="BE325" s="170">
        <v>3.5290288393785936E-3</v>
      </c>
      <c r="BF325" s="171">
        <v>2.0722424188952399E-3</v>
      </c>
      <c r="BH325" s="81">
        <f t="shared" si="300"/>
        <v>353.1448740700344</v>
      </c>
      <c r="BI325" s="80">
        <v>353.1448740700344</v>
      </c>
      <c r="BK325" s="81">
        <f t="shared" si="301"/>
        <v>54.868025092614019</v>
      </c>
      <c r="BL325" s="81">
        <f t="shared" si="302"/>
        <v>43.035753601052555</v>
      </c>
      <c r="BM325" s="81">
        <f t="shared" si="303"/>
        <v>11.832271491561464</v>
      </c>
      <c r="BN325" s="192">
        <f t="shared" si="304"/>
        <v>0.21564966975919547</v>
      </c>
      <c r="BO325" s="81">
        <f t="shared" si="305"/>
        <v>43</v>
      </c>
      <c r="BP325" s="49">
        <f t="shared" si="306"/>
        <v>9.2729357996454045</v>
      </c>
      <c r="BQ325" s="82">
        <f t="shared" si="307"/>
        <v>4474.8315713897118</v>
      </c>
      <c r="BS325" s="193">
        <v>4474.8315713897118</v>
      </c>
    </row>
    <row r="326" spans="1:71" x14ac:dyDescent="0.25">
      <c r="A326" s="5">
        <v>20</v>
      </c>
      <c r="B326" s="17" t="s">
        <v>68</v>
      </c>
      <c r="C326" s="9" t="s">
        <v>69</v>
      </c>
      <c r="D326" s="10" t="s">
        <v>70</v>
      </c>
      <c r="E326" s="18" t="s">
        <v>71</v>
      </c>
      <c r="F326" s="33">
        <v>44248</v>
      </c>
      <c r="G326" s="29">
        <v>5.7638888888888885E-2</v>
      </c>
      <c r="H326" s="28">
        <v>-15</v>
      </c>
      <c r="I326" s="28">
        <v>39</v>
      </c>
      <c r="J326" s="28" t="s">
        <v>85</v>
      </c>
      <c r="K326" s="10">
        <v>10</v>
      </c>
      <c r="L326" s="47">
        <f t="shared" si="308"/>
        <v>101204.92615896827</v>
      </c>
      <c r="M326" s="10">
        <f t="shared" si="287"/>
        <v>1.0120492615896828</v>
      </c>
      <c r="N326" s="10" t="s">
        <v>15</v>
      </c>
      <c r="O326" s="55">
        <f>_xll.HumidairTdbRHPsi(H326,I326,M326,N326)</f>
        <v>3.9813282980362782E-4</v>
      </c>
      <c r="P326" s="49">
        <f t="shared" si="309"/>
        <v>0.3981328298036278</v>
      </c>
      <c r="Q326" s="31"/>
      <c r="R326" s="58">
        <v>0.3981328298036278</v>
      </c>
      <c r="S326" s="4"/>
      <c r="T326" s="82">
        <v>20</v>
      </c>
      <c r="U326" s="10" t="s">
        <v>144</v>
      </c>
      <c r="V326" s="78">
        <f>_xll.HumidairTdbRHPsi(H326, I326,M326,U326)</f>
        <v>-24.818139885869897</v>
      </c>
      <c r="W326" s="79">
        <v>-24.818139885869897</v>
      </c>
      <c r="X326" s="4"/>
      <c r="Y326" s="82">
        <v>20</v>
      </c>
      <c r="Z326" s="10" t="s">
        <v>145</v>
      </c>
      <c r="AA326" s="78">
        <f>_xll.HumidairTdbRHPsi(H326,I326,M326,Z326)</f>
        <v>-14.101602511146273</v>
      </c>
      <c r="AB326" s="81">
        <f t="shared" si="297"/>
        <v>22.898397488853725</v>
      </c>
      <c r="AC326" s="80">
        <v>22.898397488853725</v>
      </c>
      <c r="AE326" s="10" t="s">
        <v>146</v>
      </c>
      <c r="AF326" s="78">
        <f>_xll.HumidairTdbRHPsi(H326,I326,M326,AE326)</f>
        <v>-15.085880645898035</v>
      </c>
      <c r="AG326" s="81">
        <f t="shared" si="298"/>
        <v>21.914119354101963</v>
      </c>
      <c r="AH326" s="80">
        <v>21.914119354101963</v>
      </c>
      <c r="AJ326" s="10" t="s">
        <v>150</v>
      </c>
      <c r="AK326" s="84">
        <f>_xll.HumidairTdbRHPsi(H326,I326,M326,AJ326)</f>
        <v>0.73162169320268389</v>
      </c>
      <c r="AL326" s="58">
        <v>0.73162169320268389</v>
      </c>
      <c r="AN326" s="49">
        <f t="shared" si="288"/>
        <v>0.58063327005900045</v>
      </c>
      <c r="AO326" s="81">
        <f t="shared" si="299"/>
        <v>0.68568724930828018</v>
      </c>
      <c r="AP326" s="81">
        <f t="shared" si="289"/>
        <v>1.6749533457860251</v>
      </c>
      <c r="AR326" s="58">
        <v>0.58063327005900045</v>
      </c>
      <c r="AS326" s="155">
        <v>0.68568724930828018</v>
      </c>
      <c r="AT326" s="155">
        <v>1.6749533457860251</v>
      </c>
      <c r="AU326" s="140"/>
      <c r="AV326" s="49">
        <f t="shared" si="290"/>
        <v>5.4366729940999559E-2</v>
      </c>
      <c r="AW326" s="162">
        <f t="shared" si="291"/>
        <v>5.4366729940999559E-5</v>
      </c>
      <c r="AX326" s="10">
        <f t="shared" si="292"/>
        <v>22</v>
      </c>
      <c r="AY326" s="55">
        <f t="shared" si="293"/>
        <v>9.9632469289875794E-4</v>
      </c>
      <c r="AZ326" s="55">
        <f t="shared" si="294"/>
        <v>5.8504092360467288E-4</v>
      </c>
      <c r="BB326" s="58">
        <v>5.4366729940999559E-2</v>
      </c>
      <c r="BC326" s="167">
        <v>5.4366729940999559E-5</v>
      </c>
      <c r="BD326" s="168">
        <v>22</v>
      </c>
      <c r="BE326" s="170">
        <v>9.9632469289875794E-4</v>
      </c>
      <c r="BF326" s="171">
        <v>5.8504092360467288E-4</v>
      </c>
      <c r="BH326" s="81">
        <f t="shared" si="300"/>
        <v>382.21213682623966</v>
      </c>
      <c r="BI326" s="80">
        <v>382.21213682623966</v>
      </c>
      <c r="BK326" s="78">
        <f t="shared" ref="BK326" si="310">+AB326</f>
        <v>22.898397488853725</v>
      </c>
      <c r="BL326" s="81">
        <f t="shared" ref="BL326" si="311">+AG326</f>
        <v>21.914119354101963</v>
      </c>
      <c r="BM326" s="81">
        <f t="shared" ref="BM326" si="312">+BK326-BL326</f>
        <v>0.98427813475176151</v>
      </c>
      <c r="BN326" s="192">
        <f t="shared" ref="BN326" si="313">+BM326/BK326</f>
        <v>4.2984585940168067E-2</v>
      </c>
      <c r="BO326" s="81">
        <v>0</v>
      </c>
      <c r="BP326" s="49">
        <f t="shared" ref="BP326" si="314">+BN326*BO326*-1</f>
        <v>0</v>
      </c>
      <c r="BQ326" s="82"/>
      <c r="BS326" s="9"/>
    </row>
    <row r="327" spans="1:71" x14ac:dyDescent="0.25">
      <c r="AP327" s="23"/>
    </row>
    <row r="328" spans="1:71" x14ac:dyDescent="0.25">
      <c r="A328" s="1"/>
      <c r="D328" s="4"/>
      <c r="AT328" s="141"/>
      <c r="AU328" s="141"/>
    </row>
    <row r="329" spans="1:71" ht="18" x14ac:dyDescent="0.35">
      <c r="B329" t="s">
        <v>173</v>
      </c>
    </row>
    <row r="330" spans="1:71" x14ac:dyDescent="0.25">
      <c r="B330" s="92" t="s">
        <v>174</v>
      </c>
      <c r="I330" s="4"/>
      <c r="J330" s="92"/>
      <c r="AT330" s="142"/>
      <c r="AU330" s="142"/>
    </row>
    <row r="332" spans="1:71" ht="18" x14ac:dyDescent="0.35">
      <c r="B332" t="s">
        <v>179</v>
      </c>
      <c r="H332" s="98" t="s">
        <v>180</v>
      </c>
      <c r="J332" s="108">
        <f>418/1000000</f>
        <v>4.1800000000000002E-4</v>
      </c>
    </row>
    <row r="333" spans="1:71" x14ac:dyDescent="0.25">
      <c r="B333" t="s">
        <v>175</v>
      </c>
      <c r="D333" s="92" t="s">
        <v>176</v>
      </c>
      <c r="J333" s="112">
        <v>1.8395971000000001E-2</v>
      </c>
      <c r="K333" t="s">
        <v>200</v>
      </c>
      <c r="L333" s="126">
        <f>+J333/1000</f>
        <v>1.8395971000000002E-5</v>
      </c>
      <c r="M333" t="s">
        <v>201</v>
      </c>
    </row>
    <row r="335" spans="1:71" ht="18.75" x14ac:dyDescent="0.35">
      <c r="B335" t="s">
        <v>181</v>
      </c>
      <c r="D335">
        <v>0.83299999999999996</v>
      </c>
      <c r="E335" s="96" t="s">
        <v>185</v>
      </c>
      <c r="I335" t="s">
        <v>202</v>
      </c>
      <c r="K335" s="25"/>
      <c r="L335" s="25"/>
      <c r="M335" s="25"/>
      <c r="N335" s="99"/>
    </row>
    <row r="336" spans="1:71" x14ac:dyDescent="0.25">
      <c r="C336" s="94"/>
      <c r="G336" s="25"/>
      <c r="H336" s="99"/>
      <c r="I336" s="25"/>
      <c r="K336" s="99"/>
      <c r="L336" s="25"/>
      <c r="M336" s="25"/>
      <c r="N336" s="99"/>
    </row>
    <row r="337" spans="1:27" ht="18" x14ac:dyDescent="0.35">
      <c r="B337" t="s">
        <v>182</v>
      </c>
      <c r="D337">
        <v>270</v>
      </c>
      <c r="E337" t="s">
        <v>178</v>
      </c>
      <c r="F337" s="97">
        <f>+F338*(270/418)</f>
        <v>1.1882565000000001E-2</v>
      </c>
      <c r="G337" t="s">
        <v>177</v>
      </c>
      <c r="H337" s="113"/>
      <c r="I337" s="25"/>
      <c r="K337" s="99"/>
      <c r="L337" s="25"/>
      <c r="M337" s="25"/>
      <c r="N337" s="99"/>
      <c r="Z337" s="130"/>
    </row>
    <row r="338" spans="1:27" x14ac:dyDescent="0.25">
      <c r="D338">
        <v>418</v>
      </c>
      <c r="E338" t="s">
        <v>178</v>
      </c>
      <c r="F338" s="97">
        <f>+J333</f>
        <v>1.8395971000000001E-2</v>
      </c>
      <c r="G338" t="s">
        <v>177</v>
      </c>
      <c r="H338" s="99"/>
      <c r="I338" s="25"/>
      <c r="K338" s="99"/>
      <c r="L338" s="25"/>
      <c r="M338" s="25"/>
      <c r="N338" s="99"/>
    </row>
    <row r="339" spans="1:27" x14ac:dyDescent="0.25">
      <c r="C339" s="95"/>
      <c r="D339">
        <v>800</v>
      </c>
      <c r="E339" t="s">
        <v>178</v>
      </c>
      <c r="F339" s="97">
        <f>+F338*(800/418)</f>
        <v>3.5207599999999999E-2</v>
      </c>
      <c r="G339" t="s">
        <v>177</v>
      </c>
      <c r="H339" s="25"/>
      <c r="I339" s="25"/>
      <c r="K339" s="25"/>
      <c r="L339" s="25"/>
      <c r="M339" s="25"/>
      <c r="N339" s="25"/>
      <c r="Z339" s="130"/>
    </row>
    <row r="340" spans="1:27" ht="17.25" x14ac:dyDescent="0.25">
      <c r="B340" t="s">
        <v>237</v>
      </c>
      <c r="H340" s="100"/>
      <c r="I340" s="25"/>
      <c r="J340" s="102"/>
      <c r="K340" s="25"/>
      <c r="L340" s="103"/>
      <c r="M340" s="103"/>
      <c r="O340" s="25"/>
      <c r="P340" s="106"/>
      <c r="U340" s="93"/>
      <c r="Z340" s="131"/>
      <c r="AA340" s="51"/>
    </row>
    <row r="341" spans="1:27" x14ac:dyDescent="0.25">
      <c r="A341" s="25"/>
      <c r="F341" s="25"/>
      <c r="G341" s="117" t="s">
        <v>194</v>
      </c>
      <c r="H341" s="25"/>
      <c r="I341" s="25"/>
      <c r="J341" s="25"/>
      <c r="K341" s="25"/>
      <c r="L341" s="25"/>
      <c r="M341" s="25"/>
      <c r="N341" s="25"/>
      <c r="O341" s="25"/>
      <c r="Z341" s="131"/>
      <c r="AA341" s="51"/>
    </row>
    <row r="342" spans="1:27" x14ac:dyDescent="0.25">
      <c r="A342" s="25"/>
      <c r="B342" s="91"/>
      <c r="C342" s="127" t="s">
        <v>236</v>
      </c>
      <c r="D342" s="51"/>
      <c r="E342" s="117" t="s">
        <v>192</v>
      </c>
      <c r="F342" s="118" t="s">
        <v>203</v>
      </c>
      <c r="G342" s="117" t="s">
        <v>195</v>
      </c>
      <c r="H342" s="25"/>
      <c r="Z342" s="131"/>
      <c r="AA342" s="51"/>
    </row>
    <row r="343" spans="1:27" ht="17.25" x14ac:dyDescent="0.25">
      <c r="A343" s="25"/>
      <c r="B343" s="120" t="s">
        <v>191</v>
      </c>
      <c r="C343" s="109"/>
      <c r="D343" s="118" t="s">
        <v>186</v>
      </c>
      <c r="E343" s="117" t="s">
        <v>193</v>
      </c>
      <c r="F343" s="117" t="s">
        <v>141</v>
      </c>
      <c r="G343" s="117" t="s">
        <v>196</v>
      </c>
      <c r="H343" s="25"/>
    </row>
    <row r="344" spans="1:27" x14ac:dyDescent="0.25">
      <c r="A344" s="25"/>
      <c r="B344" s="114" t="s">
        <v>187</v>
      </c>
      <c r="C344" s="147">
        <v>1.19E-5</v>
      </c>
      <c r="D344" s="117">
        <v>0</v>
      </c>
      <c r="E344" s="4">
        <v>0.83299999999999996</v>
      </c>
      <c r="F344" s="117">
        <f>+C344*D344*E344</f>
        <v>0</v>
      </c>
      <c r="G344" s="4">
        <v>0</v>
      </c>
      <c r="H344" s="25"/>
    </row>
    <row r="345" spans="1:27" x14ac:dyDescent="0.25">
      <c r="A345" s="25"/>
      <c r="B345" s="116" t="s">
        <v>188</v>
      </c>
      <c r="C345" s="147">
        <f>+C344*(363/418)</f>
        <v>1.0334210526315789E-5</v>
      </c>
      <c r="D345" s="117">
        <v>35</v>
      </c>
      <c r="E345" s="4">
        <v>0.83299999999999996</v>
      </c>
      <c r="F345" s="128">
        <f t="shared" ref="F345:F347" si="315">C345*D345*E345</f>
        <v>3.0129390789473682E-4</v>
      </c>
      <c r="G345" s="128">
        <f>+F345/1.703</f>
        <v>1.7691949964459002E-4</v>
      </c>
      <c r="H345" s="25"/>
    </row>
    <row r="346" spans="1:27" x14ac:dyDescent="0.25">
      <c r="A346" s="25"/>
      <c r="B346" s="116" t="s">
        <v>189</v>
      </c>
      <c r="C346" s="147">
        <f>+C344*(323/418)</f>
        <v>9.195454545454545E-6</v>
      </c>
      <c r="D346" s="117">
        <v>69</v>
      </c>
      <c r="E346" s="4">
        <v>0.83299999999999996</v>
      </c>
      <c r="F346" s="128">
        <f t="shared" si="315"/>
        <v>5.2852714090909092E-4</v>
      </c>
      <c r="G346" s="128">
        <f t="shared" ref="G346:G347" si="316">+F346/1.703</f>
        <v>3.1035064058079325E-4</v>
      </c>
      <c r="H346" s="25"/>
    </row>
    <row r="347" spans="1:27" x14ac:dyDescent="0.25">
      <c r="A347" s="25"/>
      <c r="B347" t="s">
        <v>190</v>
      </c>
      <c r="C347" s="147">
        <f>+C344*(311/418)</f>
        <v>8.8538277511961722E-6</v>
      </c>
      <c r="D347" s="119">
        <v>76</v>
      </c>
      <c r="E347" s="4">
        <v>0.83299999999999996</v>
      </c>
      <c r="F347" s="128">
        <f t="shared" si="315"/>
        <v>5.6051812727272727E-4</v>
      </c>
      <c r="G347" s="128">
        <f t="shared" si="316"/>
        <v>3.2913571771739711E-4</v>
      </c>
      <c r="H347" s="25"/>
      <c r="I347" s="25"/>
      <c r="J347" s="25"/>
      <c r="K347" s="25"/>
      <c r="L347" s="25"/>
      <c r="M347" s="25"/>
      <c r="O347" s="25"/>
      <c r="P347" s="106"/>
      <c r="U347" s="93"/>
    </row>
    <row r="348" spans="1:27" x14ac:dyDescent="0.25">
      <c r="A348" s="25"/>
      <c r="B348" s="25"/>
      <c r="C348" s="25"/>
      <c r="D348" s="25"/>
      <c r="E348" s="25"/>
      <c r="F348" s="110"/>
      <c r="G348" s="25"/>
      <c r="H348" s="25"/>
      <c r="I348" s="25"/>
      <c r="J348" s="25"/>
      <c r="K348" s="25"/>
      <c r="L348" s="25"/>
      <c r="M348" s="25"/>
      <c r="N348" s="25"/>
      <c r="O348" s="25"/>
    </row>
    <row r="349" spans="1:27" ht="18" x14ac:dyDescent="0.35">
      <c r="A349" s="25"/>
      <c r="B349" s="121" t="s">
        <v>198</v>
      </c>
      <c r="C349" s="101"/>
      <c r="D349" s="25"/>
      <c r="E349" s="115">
        <f>+C356-C344</f>
        <v>6.5000000000000004E-6</v>
      </c>
      <c r="F349" s="114" t="s">
        <v>177</v>
      </c>
      <c r="G349" s="25"/>
      <c r="H349" s="25"/>
    </row>
    <row r="350" spans="1:27" x14ac:dyDescent="0.25">
      <c r="A350" s="25"/>
      <c r="B350" s="114" t="s">
        <v>187</v>
      </c>
      <c r="C350" s="147">
        <v>6.4999999999999996E-6</v>
      </c>
      <c r="D350" s="117">
        <v>0</v>
      </c>
      <c r="E350" s="4">
        <v>0.83299999999999996</v>
      </c>
      <c r="F350" s="128">
        <f>C350*D350*E350</f>
        <v>0</v>
      </c>
      <c r="G350" s="122">
        <v>0</v>
      </c>
      <c r="N350" s="25"/>
      <c r="O350" s="25"/>
      <c r="P350" s="101"/>
      <c r="Q350" s="25"/>
      <c r="R350" s="25"/>
      <c r="S350" s="25"/>
      <c r="T350" s="25"/>
      <c r="U350" s="101"/>
    </row>
    <row r="351" spans="1:27" x14ac:dyDescent="0.25">
      <c r="A351" s="25"/>
      <c r="B351" s="116" t="s">
        <v>188</v>
      </c>
      <c r="C351" s="147">
        <f>+C350*(0.868421052631579)</f>
        <v>5.6447368421052633E-6</v>
      </c>
      <c r="D351" s="117">
        <v>35</v>
      </c>
      <c r="E351" s="4">
        <v>0.83299999999999996</v>
      </c>
      <c r="F351" s="128">
        <f t="shared" ref="F351:F353" si="317">C351*D351*E351</f>
        <v>1.6457230263157893E-4</v>
      </c>
      <c r="G351" s="129">
        <f>+F351/1.703</f>
        <v>9.6636701486540772E-5</v>
      </c>
      <c r="I351" s="91"/>
      <c r="J351" s="51"/>
      <c r="K351" s="51"/>
      <c r="L351" s="51"/>
      <c r="M351" s="51"/>
      <c r="N351" s="25"/>
      <c r="O351" s="25"/>
      <c r="P351" s="25"/>
      <c r="Q351" s="25"/>
      <c r="R351" s="25"/>
      <c r="S351" s="25"/>
      <c r="T351" s="25"/>
      <c r="U351" s="25"/>
    </row>
    <row r="352" spans="1:27" x14ac:dyDescent="0.25">
      <c r="A352" s="25"/>
      <c r="B352" s="116" t="s">
        <v>189</v>
      </c>
      <c r="C352" s="147">
        <f>0.0065*(0.772727272727273)</f>
        <v>5.0227272727272742E-3</v>
      </c>
      <c r="D352" s="117">
        <v>69</v>
      </c>
      <c r="E352" s="4">
        <v>0.83299999999999996</v>
      </c>
      <c r="F352" s="128">
        <f t="shared" si="317"/>
        <v>0.28869129545454553</v>
      </c>
      <c r="G352" s="129">
        <f t="shared" ref="G352:G353" si="318">+F352/1.703</f>
        <v>0.16951925746009719</v>
      </c>
      <c r="I352" s="25"/>
      <c r="J352" s="102"/>
      <c r="K352" s="25"/>
      <c r="L352" s="103"/>
      <c r="M352" s="103"/>
      <c r="N352" s="25"/>
      <c r="O352" s="25"/>
      <c r="P352" s="107"/>
      <c r="Q352" s="25"/>
      <c r="R352" s="25"/>
      <c r="S352" s="25"/>
      <c r="T352" s="25"/>
      <c r="U352" s="107"/>
    </row>
    <row r="353" spans="1:18" ht="18" x14ac:dyDescent="0.35">
      <c r="A353" s="25"/>
      <c r="B353" t="s">
        <v>190</v>
      </c>
      <c r="C353" s="147">
        <f>0.0065*(0.749397590361446)</f>
        <v>4.8710843373493988E-3</v>
      </c>
      <c r="D353" s="119">
        <v>76</v>
      </c>
      <c r="E353" s="4">
        <v>0.83299999999999996</v>
      </c>
      <c r="F353" s="128">
        <f t="shared" si="317"/>
        <v>0.30837860722891575</v>
      </c>
      <c r="G353" s="129">
        <f t="shared" si="318"/>
        <v>0.18107962843741382</v>
      </c>
      <c r="H353" s="123" t="s">
        <v>199</v>
      </c>
      <c r="I353" s="124"/>
      <c r="J353" s="125"/>
    </row>
    <row r="354" spans="1:18" x14ac:dyDescent="0.25">
      <c r="A354" s="25"/>
    </row>
    <row r="355" spans="1:18" x14ac:dyDescent="0.25">
      <c r="A355" s="25"/>
      <c r="B355" s="120" t="s">
        <v>197</v>
      </c>
      <c r="C355" s="25"/>
      <c r="D355" s="25"/>
      <c r="E355" s="25"/>
      <c r="F355" s="111"/>
      <c r="G355" s="25"/>
      <c r="K355" s="105"/>
    </row>
    <row r="356" spans="1:18" x14ac:dyDescent="0.25">
      <c r="A356" s="25"/>
      <c r="B356" s="114" t="s">
        <v>187</v>
      </c>
      <c r="C356" s="146">
        <v>1.84E-5</v>
      </c>
      <c r="D356" s="117">
        <v>0</v>
      </c>
      <c r="E356" s="4">
        <v>0.83299999999999996</v>
      </c>
      <c r="F356" s="128">
        <f t="shared" ref="F356:F359" si="319">C356*D356*E356</f>
        <v>0</v>
      </c>
      <c r="G356" s="4">
        <v>0</v>
      </c>
      <c r="K356" s="1" t="s">
        <v>214</v>
      </c>
    </row>
    <row r="357" spans="1:18" x14ac:dyDescent="0.25">
      <c r="A357" s="25"/>
      <c r="B357" s="116" t="s">
        <v>188</v>
      </c>
      <c r="C357" s="146">
        <v>1.5999999999999999E-5</v>
      </c>
      <c r="D357" s="117">
        <v>35</v>
      </c>
      <c r="E357" s="4">
        <v>0.83299999999999996</v>
      </c>
      <c r="F357" s="128">
        <f t="shared" si="319"/>
        <v>4.6647999999999991E-4</v>
      </c>
      <c r="G357" s="128">
        <f>+F357/1.703</f>
        <v>2.7391661773341154E-4</v>
      </c>
      <c r="K357">
        <v>1.37E-2</v>
      </c>
      <c r="L357" t="s">
        <v>208</v>
      </c>
    </row>
    <row r="358" spans="1:18" x14ac:dyDescent="0.25">
      <c r="A358" s="25"/>
      <c r="B358" s="116" t="s">
        <v>189</v>
      </c>
      <c r="C358" s="146">
        <v>1.42E-5</v>
      </c>
      <c r="D358" s="117">
        <v>69</v>
      </c>
      <c r="E358" s="4">
        <v>0.83299999999999996</v>
      </c>
      <c r="F358" s="128">
        <f t="shared" si="319"/>
        <v>8.1617340000000003E-4</v>
      </c>
      <c r="G358" s="128">
        <f t="shared" ref="G358:G359" si="320">+F358/1.703</f>
        <v>4.7925625366999414E-4</v>
      </c>
      <c r="H358" s="25"/>
      <c r="I358" s="25"/>
      <c r="J358" s="25"/>
      <c r="K358" s="116">
        <v>0.83299999999999996</v>
      </c>
      <c r="L358" s="116" t="s">
        <v>202</v>
      </c>
      <c r="M358" s="25"/>
      <c r="N358" s="25"/>
      <c r="O358" s="25"/>
    </row>
    <row r="359" spans="1:18" x14ac:dyDescent="0.25">
      <c r="A359" s="25"/>
      <c r="B359" t="s">
        <v>190</v>
      </c>
      <c r="C359" s="146">
        <v>1.3699999999999999E-5</v>
      </c>
      <c r="D359" s="119">
        <v>76</v>
      </c>
      <c r="E359" s="4">
        <v>0.83299999999999996</v>
      </c>
      <c r="F359" s="128">
        <f t="shared" si="319"/>
        <v>8.6731959999999996E-4</v>
      </c>
      <c r="G359" s="128">
        <f t="shared" si="320"/>
        <v>5.0928925425719311E-4</v>
      </c>
      <c r="H359" s="25"/>
      <c r="I359" s="25"/>
      <c r="J359" s="25"/>
      <c r="K359" s="116">
        <v>833</v>
      </c>
      <c r="L359" s="116" t="s">
        <v>210</v>
      </c>
      <c r="M359" s="25"/>
      <c r="N359" s="25"/>
      <c r="O359" s="25"/>
    </row>
    <row r="360" spans="1:18" x14ac:dyDescent="0.25">
      <c r="A360" s="25"/>
      <c r="H360" s="25"/>
      <c r="I360" s="25"/>
      <c r="J360" s="25"/>
      <c r="K360">
        <v>0.83299999999999996</v>
      </c>
      <c r="L360" t="s">
        <v>213</v>
      </c>
      <c r="N360" s="25"/>
      <c r="O360" s="25"/>
    </row>
    <row r="361" spans="1:18" x14ac:dyDescent="0.25">
      <c r="A361" s="25"/>
      <c r="B361" s="1" t="s">
        <v>205</v>
      </c>
      <c r="C361" s="97"/>
      <c r="H361" s="25"/>
      <c r="I361" s="25"/>
      <c r="J361" s="25"/>
      <c r="K361">
        <f>+K357*K360</f>
        <v>1.14121E-2</v>
      </c>
      <c r="L361" t="s">
        <v>211</v>
      </c>
      <c r="N361" s="25"/>
      <c r="O361" s="25"/>
    </row>
    <row r="362" spans="1:18" x14ac:dyDescent="0.25">
      <c r="A362" s="25"/>
      <c r="B362" s="114" t="s">
        <v>187</v>
      </c>
      <c r="C362" s="146">
        <v>3.5200000000000002E-5</v>
      </c>
      <c r="D362" s="117">
        <v>0</v>
      </c>
      <c r="E362" s="4">
        <v>0.83299999999999996</v>
      </c>
      <c r="F362" s="128">
        <f t="shared" ref="F362:F365" si="321">C362*D362*E362</f>
        <v>0</v>
      </c>
      <c r="G362" s="4">
        <v>0</v>
      </c>
      <c r="H362" s="25"/>
      <c r="I362" s="102"/>
      <c r="J362" s="25"/>
      <c r="K362" s="116">
        <v>76</v>
      </c>
      <c r="L362" s="133" t="s">
        <v>209</v>
      </c>
      <c r="N362" s="25"/>
      <c r="O362" s="25"/>
    </row>
    <row r="363" spans="1:18" x14ac:dyDescent="0.25">
      <c r="A363" s="25"/>
      <c r="B363" s="116" t="s">
        <v>188</v>
      </c>
      <c r="C363" s="146">
        <f>+C362*(0.016/0.0184)</f>
        <v>3.0608695652173916E-5</v>
      </c>
      <c r="D363" s="117">
        <v>35</v>
      </c>
      <c r="E363" s="4">
        <v>0.83299999999999996</v>
      </c>
      <c r="F363" s="128">
        <f t="shared" si="321"/>
        <v>8.9239652173913047E-4</v>
      </c>
      <c r="G363" s="128">
        <f>+F363/1.703</f>
        <v>5.2401439914217878E-4</v>
      </c>
      <c r="H363" s="25"/>
      <c r="I363" s="102"/>
      <c r="J363" s="25"/>
      <c r="K363">
        <f>+K361*K362</f>
        <v>0.86731959999999997</v>
      </c>
      <c r="L363" t="s">
        <v>207</v>
      </c>
      <c r="M363" s="116" t="s">
        <v>212</v>
      </c>
      <c r="N363" s="25"/>
      <c r="O363" s="25"/>
      <c r="P363" s="116"/>
      <c r="Q363" s="132"/>
      <c r="R363" s="116"/>
    </row>
    <row r="364" spans="1:18" x14ac:dyDescent="0.25">
      <c r="A364" s="25"/>
      <c r="B364" s="116" t="s">
        <v>189</v>
      </c>
      <c r="C364" s="146">
        <f>+C362*(0.0142/0.0184)</f>
        <v>2.7165217391304351E-5</v>
      </c>
      <c r="D364" s="117">
        <v>69</v>
      </c>
      <c r="E364" s="4">
        <v>0.83299999999999996</v>
      </c>
      <c r="F364" s="128">
        <f t="shared" si="321"/>
        <v>1.5613752000000001E-3</v>
      </c>
      <c r="G364" s="128">
        <f t="shared" ref="G364:G365" si="322">+F364/1.703</f>
        <v>9.1683805049911922E-4</v>
      </c>
      <c r="H364" s="25"/>
      <c r="I364" s="102"/>
      <c r="J364" s="25"/>
      <c r="K364" s="135">
        <f>+K363/1000</f>
        <v>8.6731959999999996E-4</v>
      </c>
      <c r="L364" t="s">
        <v>203</v>
      </c>
      <c r="M364" t="s">
        <v>215</v>
      </c>
      <c r="N364" s="25"/>
      <c r="O364" s="25"/>
    </row>
    <row r="365" spans="1:18" x14ac:dyDescent="0.25">
      <c r="A365" s="25"/>
      <c r="B365" t="s">
        <v>190</v>
      </c>
      <c r="C365" s="146">
        <f>+C362*(0.0137/0.0184)</f>
        <v>2.6208695652173917E-5</v>
      </c>
      <c r="D365" s="119">
        <v>76</v>
      </c>
      <c r="E365" s="4">
        <v>0.83299999999999996</v>
      </c>
      <c r="F365" s="128">
        <f t="shared" si="321"/>
        <v>1.6592201043478263E-3</v>
      </c>
      <c r="G365" s="128">
        <f t="shared" si="322"/>
        <v>9.7429248640506529E-4</v>
      </c>
      <c r="I365" s="25"/>
      <c r="J365" s="25"/>
      <c r="N365" s="25"/>
      <c r="O365" s="25"/>
    </row>
    <row r="366" spans="1:18" x14ac:dyDescent="0.25">
      <c r="A366" s="25"/>
      <c r="B366" s="25"/>
      <c r="C366" s="101"/>
      <c r="D366" s="25"/>
      <c r="E366" s="101"/>
      <c r="F366" s="102"/>
      <c r="G366" s="25"/>
      <c r="H366" s="25"/>
      <c r="I366" s="101"/>
      <c r="J366" s="25"/>
      <c r="K366" s="116"/>
      <c r="L366" s="134"/>
      <c r="M366" s="116"/>
      <c r="N366" s="25"/>
      <c r="O366" s="25"/>
    </row>
    <row r="367" spans="1:18" x14ac:dyDescent="0.25">
      <c r="A367" s="25"/>
      <c r="B367" s="1" t="s">
        <v>206</v>
      </c>
      <c r="C367" s="97"/>
      <c r="H367" s="25"/>
      <c r="K367" s="116"/>
      <c r="L367" s="134"/>
      <c r="M367" s="116"/>
    </row>
    <row r="368" spans="1:18" x14ac:dyDescent="0.25">
      <c r="A368" s="25"/>
      <c r="B368" s="114" t="s">
        <v>187</v>
      </c>
      <c r="C368" s="128">
        <f>+C362*5</f>
        <v>1.76E-4</v>
      </c>
      <c r="D368" s="117">
        <v>0</v>
      </c>
      <c r="E368" s="4">
        <v>0.83299999999999996</v>
      </c>
      <c r="F368" s="128">
        <f t="shared" ref="F368:F371" si="323">C368*D368*E368</f>
        <v>0</v>
      </c>
      <c r="G368" s="4">
        <v>0</v>
      </c>
      <c r="H368" s="25"/>
    </row>
    <row r="369" spans="1:11" x14ac:dyDescent="0.25">
      <c r="A369" s="25"/>
      <c r="B369" s="116" t="s">
        <v>188</v>
      </c>
      <c r="C369" s="128">
        <f t="shared" ref="C369:C371" si="324">+C363*5</f>
        <v>1.5304347826086958E-4</v>
      </c>
      <c r="D369" s="117">
        <v>35</v>
      </c>
      <c r="E369" s="4">
        <v>0.83299999999999996</v>
      </c>
      <c r="F369" s="128">
        <f t="shared" si="323"/>
        <v>4.4619826086956527E-3</v>
      </c>
      <c r="G369" s="128">
        <f>+F369/1.703</f>
        <v>2.6200719957108938E-3</v>
      </c>
      <c r="H369" s="25"/>
    </row>
    <row r="370" spans="1:11" x14ac:dyDescent="0.25">
      <c r="A370" s="25"/>
      <c r="B370" s="116" t="s">
        <v>189</v>
      </c>
      <c r="C370" s="128">
        <f t="shared" si="324"/>
        <v>1.3582608695652176E-4</v>
      </c>
      <c r="D370" s="117">
        <v>69</v>
      </c>
      <c r="E370" s="4">
        <v>0.83299999999999996</v>
      </c>
      <c r="F370" s="128">
        <f t="shared" si="323"/>
        <v>7.8068760000000008E-3</v>
      </c>
      <c r="G370" s="128">
        <f t="shared" ref="G370:G371" si="325">+F370/1.703</f>
        <v>4.5841902524955966E-3</v>
      </c>
      <c r="H370" s="25"/>
      <c r="J370" s="100"/>
      <c r="K370" s="25"/>
    </row>
    <row r="371" spans="1:11" x14ac:dyDescent="0.25">
      <c r="A371" s="25"/>
      <c r="B371" t="s">
        <v>190</v>
      </c>
      <c r="C371" s="128">
        <f t="shared" si="324"/>
        <v>1.3104347826086959E-4</v>
      </c>
      <c r="D371" s="119">
        <v>76</v>
      </c>
      <c r="E371" s="4">
        <v>0.83299999999999996</v>
      </c>
      <c r="F371" s="128">
        <f t="shared" si="323"/>
        <v>8.29610052173913E-3</v>
      </c>
      <c r="G371" s="128">
        <f t="shared" si="325"/>
        <v>4.8714624320253261E-3</v>
      </c>
      <c r="J371" s="104"/>
      <c r="K371" s="25"/>
    </row>
    <row r="372" spans="1:11" x14ac:dyDescent="0.25">
      <c r="B372" s="25"/>
      <c r="C372" s="25"/>
      <c r="D372" s="25"/>
      <c r="E372" s="25"/>
      <c r="F372" s="25"/>
      <c r="G372" s="25"/>
    </row>
    <row r="373" spans="1:11" ht="45" x14ac:dyDescent="0.25">
      <c r="B373" s="116"/>
      <c r="C373" s="145" t="s">
        <v>217</v>
      </c>
      <c r="D373" s="143" t="s">
        <v>228</v>
      </c>
      <c r="E373" s="144" t="s">
        <v>229</v>
      </c>
      <c r="F373" s="148"/>
      <c r="G373" s="25"/>
    </row>
    <row r="374" spans="1:11" x14ac:dyDescent="0.25">
      <c r="C374" s="136">
        <v>2021</v>
      </c>
    </row>
    <row r="375" spans="1:11" x14ac:dyDescent="0.25">
      <c r="C375" s="137" t="s">
        <v>97</v>
      </c>
      <c r="D375" s="10">
        <v>417.16</v>
      </c>
    </row>
    <row r="376" spans="1:11" x14ac:dyDescent="0.25">
      <c r="C376" s="9" t="s">
        <v>218</v>
      </c>
      <c r="D376" s="10">
        <v>418.24</v>
      </c>
    </row>
    <row r="377" spans="1:11" x14ac:dyDescent="0.25">
      <c r="C377" s="9" t="s">
        <v>219</v>
      </c>
      <c r="D377" s="10">
        <v>418.75</v>
      </c>
    </row>
    <row r="378" spans="1:11" x14ac:dyDescent="0.25">
      <c r="C378" s="9" t="s">
        <v>220</v>
      </c>
      <c r="D378" s="10">
        <v>418.7</v>
      </c>
    </row>
    <row r="379" spans="1:11" x14ac:dyDescent="0.25">
      <c r="C379" s="9" t="s">
        <v>221</v>
      </c>
      <c r="D379" s="10">
        <v>416.65</v>
      </c>
    </row>
    <row r="380" spans="1:11" x14ac:dyDescent="0.25">
      <c r="C380" s="9" t="s">
        <v>238</v>
      </c>
      <c r="D380" s="10">
        <v>414.34</v>
      </c>
    </row>
    <row r="381" spans="1:11" x14ac:dyDescent="0.25">
      <c r="C381" s="9" t="s">
        <v>222</v>
      </c>
      <c r="D381" s="10">
        <v>412.91</v>
      </c>
    </row>
    <row r="382" spans="1:11" x14ac:dyDescent="0.25">
      <c r="C382" s="9" t="s">
        <v>223</v>
      </c>
      <c r="D382" s="10">
        <v>412.55</v>
      </c>
    </row>
    <row r="383" spans="1:11" x14ac:dyDescent="0.25">
      <c r="C383" s="9" t="s">
        <v>224</v>
      </c>
      <c r="D383" s="10">
        <v>414.82</v>
      </c>
    </row>
    <row r="384" spans="1:11" x14ac:dyDescent="0.25">
      <c r="C384" s="9" t="s">
        <v>225</v>
      </c>
      <c r="D384" s="10">
        <v>416.43</v>
      </c>
    </row>
    <row r="385" spans="3:4" x14ac:dyDescent="0.25">
      <c r="C385" s="138" t="s">
        <v>226</v>
      </c>
      <c r="D385" s="10">
        <v>418.01</v>
      </c>
    </row>
    <row r="386" spans="3:4" x14ac:dyDescent="0.25">
      <c r="C386" s="137" t="s">
        <v>227</v>
      </c>
      <c r="D386" s="10">
        <v>418.99</v>
      </c>
    </row>
  </sheetData>
  <phoneticPr fontId="7" type="noConversion"/>
  <hyperlinks>
    <hyperlink ref="B330" r:id="rId1" xr:uid="{EFB869EB-ECF9-4426-B4BD-6CE01704D0E5}"/>
    <hyperlink ref="D333" r:id="rId2" xr:uid="{189F1A3A-A9FE-48F5-860B-D0A7526C5290}"/>
    <hyperlink ref="U3" r:id="rId3" xr:uid="{922A44ED-FF5D-4EE6-8CC6-6AB63248438D}"/>
    <hyperlink ref="E373" r:id="rId4" display="https://scrippsco2.ucsd.edu/assets/data/atmospheric/stations/in_situ_co2/monthly/monthly_in_situ_co2_mlo.csv" xr:uid="{9C212E43-0469-4E36-B9F0-A0A6C9E14673}"/>
  </hyperlinks>
  <pageMargins left="0.25" right="0.25" top="0.75" bottom="0.75" header="0.3" footer="0.3"/>
  <pageSetup orientation="landscape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330D-0C14-4D88-BAC9-89117578F4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7983-3773-4044-8215-71B0C3E1BADE}">
  <dimension ref="B3:AA23"/>
  <sheetViews>
    <sheetView topLeftCell="K1" workbookViewId="0">
      <selection activeCell="T15" sqref="T4:AA15"/>
    </sheetView>
  </sheetViews>
  <sheetFormatPr defaultRowHeight="15" x14ac:dyDescent="0.25"/>
  <cols>
    <col min="2" max="2" width="27.42578125" customWidth="1"/>
    <col min="11" max="11" width="11.5703125" customWidth="1"/>
    <col min="13" max="13" width="5.42578125" customWidth="1"/>
    <col min="14" max="14" width="7.5703125" customWidth="1"/>
    <col min="15" max="15" width="12.5703125" customWidth="1"/>
    <col min="16" max="16" width="10.5703125" customWidth="1"/>
    <col min="17" max="17" width="10" customWidth="1"/>
    <col min="18" max="18" width="12" customWidth="1"/>
    <col min="19" max="19" width="6" customWidth="1"/>
    <col min="20" max="20" width="17.5703125" customWidth="1"/>
    <col min="21" max="21" width="13.85546875" customWidth="1"/>
    <col min="22" max="22" width="9.140625" customWidth="1"/>
    <col min="23" max="23" width="10.28515625" customWidth="1"/>
    <col min="24" max="24" width="17" customWidth="1"/>
    <col min="25" max="25" width="14.5703125" customWidth="1"/>
    <col min="26" max="26" width="13.85546875" customWidth="1"/>
    <col min="27" max="27" width="18.5703125" customWidth="1"/>
  </cols>
  <sheetData>
    <row r="3" spans="2:27" x14ac:dyDescent="0.25">
      <c r="T3" t="s">
        <v>263</v>
      </c>
    </row>
    <row r="4" spans="2:27" x14ac:dyDescent="0.25">
      <c r="B4" s="9" t="s">
        <v>12</v>
      </c>
      <c r="C4" s="10" t="s">
        <v>13</v>
      </c>
      <c r="D4" s="32" t="s">
        <v>14</v>
      </c>
      <c r="E4" s="33">
        <v>44275</v>
      </c>
      <c r="F4" s="29">
        <v>0.18263888888888891</v>
      </c>
      <c r="G4" s="28">
        <v>-30</v>
      </c>
      <c r="H4" s="28">
        <v>83</v>
      </c>
    </row>
    <row r="5" spans="2:27" ht="23.25" x14ac:dyDescent="0.35">
      <c r="B5" s="12" t="s">
        <v>17</v>
      </c>
      <c r="C5" s="13" t="s">
        <v>18</v>
      </c>
      <c r="D5" s="11" t="s">
        <v>19</v>
      </c>
      <c r="E5" s="33">
        <v>44641</v>
      </c>
      <c r="F5" s="29">
        <v>0.72499999999999998</v>
      </c>
      <c r="G5" s="28">
        <v>-29</v>
      </c>
      <c r="H5" s="28">
        <v>69</v>
      </c>
      <c r="K5" s="21" t="s">
        <v>262</v>
      </c>
      <c r="L5" s="21" t="s">
        <v>258</v>
      </c>
      <c r="M5" s="21" t="s">
        <v>256</v>
      </c>
      <c r="N5" s="21" t="s">
        <v>257</v>
      </c>
      <c r="O5" s="21" t="s">
        <v>259</v>
      </c>
      <c r="P5" s="21" t="s">
        <v>260</v>
      </c>
      <c r="Q5" s="21" t="s">
        <v>261</v>
      </c>
      <c r="R5" s="21" t="s">
        <v>283</v>
      </c>
      <c r="T5" s="179" t="s">
        <v>262</v>
      </c>
      <c r="U5" s="179" t="s">
        <v>258</v>
      </c>
      <c r="V5" s="179" t="s">
        <v>256</v>
      </c>
      <c r="W5" s="179" t="s">
        <v>257</v>
      </c>
      <c r="X5" s="179" t="s">
        <v>259</v>
      </c>
      <c r="Y5" s="179" t="s">
        <v>260</v>
      </c>
      <c r="Z5" s="179" t="s">
        <v>261</v>
      </c>
      <c r="AA5" s="179" t="s">
        <v>283</v>
      </c>
    </row>
    <row r="6" spans="2:27" ht="26.25" x14ac:dyDescent="0.45">
      <c r="B6" s="12" t="s">
        <v>20</v>
      </c>
      <c r="C6" s="10" t="s">
        <v>21</v>
      </c>
      <c r="D6" s="11" t="s">
        <v>22</v>
      </c>
      <c r="E6" s="33">
        <v>44275</v>
      </c>
      <c r="F6" s="29">
        <v>0.39930555555555558</v>
      </c>
      <c r="G6" s="28">
        <v>-2</v>
      </c>
      <c r="H6" s="28">
        <v>80</v>
      </c>
      <c r="Q6" s="4" t="s">
        <v>192</v>
      </c>
      <c r="R6" s="4" t="s">
        <v>279</v>
      </c>
      <c r="T6" s="180"/>
      <c r="U6" s="180"/>
      <c r="V6" s="180"/>
      <c r="W6" s="180"/>
      <c r="X6" s="180"/>
      <c r="Y6" s="180"/>
      <c r="Z6" s="181" t="s">
        <v>192</v>
      </c>
      <c r="AA6" s="181" t="s">
        <v>286</v>
      </c>
    </row>
    <row r="7" spans="2:27" ht="23.25" x14ac:dyDescent="0.35">
      <c r="B7" s="12" t="s">
        <v>23</v>
      </c>
      <c r="C7" s="10" t="s">
        <v>24</v>
      </c>
      <c r="D7" s="11" t="s">
        <v>25</v>
      </c>
      <c r="E7" s="33">
        <v>44275</v>
      </c>
      <c r="F7" s="29">
        <v>0.10069444444444443</v>
      </c>
      <c r="G7" s="28">
        <v>-30</v>
      </c>
      <c r="H7" s="28">
        <v>75</v>
      </c>
      <c r="L7" s="154">
        <v>44307</v>
      </c>
      <c r="O7" s="4" t="s">
        <v>247</v>
      </c>
      <c r="P7" s="4" t="s">
        <v>250</v>
      </c>
      <c r="Q7" s="4" t="s">
        <v>252</v>
      </c>
      <c r="R7" s="4" t="s">
        <v>255</v>
      </c>
      <c r="T7" s="180"/>
      <c r="U7" s="182">
        <v>44307</v>
      </c>
      <c r="V7" s="180"/>
      <c r="W7" s="180"/>
      <c r="X7" s="181" t="s">
        <v>247</v>
      </c>
      <c r="Y7" s="181" t="s">
        <v>250</v>
      </c>
      <c r="Z7" s="181" t="s">
        <v>252</v>
      </c>
      <c r="AA7" s="181" t="s">
        <v>255</v>
      </c>
    </row>
    <row r="8" spans="2:27" ht="23.25" x14ac:dyDescent="0.35">
      <c r="B8" s="9" t="s">
        <v>26</v>
      </c>
      <c r="C8" s="10" t="s">
        <v>27</v>
      </c>
      <c r="D8" s="11" t="s">
        <v>28</v>
      </c>
      <c r="E8" s="33">
        <v>44275</v>
      </c>
      <c r="F8" s="29">
        <v>0.69097222222222221</v>
      </c>
      <c r="G8" s="28">
        <v>4</v>
      </c>
      <c r="H8" s="28">
        <v>21</v>
      </c>
      <c r="L8" s="4">
        <v>2021</v>
      </c>
      <c r="O8" s="4" t="s">
        <v>249</v>
      </c>
      <c r="P8" s="4" t="s">
        <v>143</v>
      </c>
      <c r="Q8" s="4" t="s">
        <v>253</v>
      </c>
      <c r="R8" s="4" t="s">
        <v>280</v>
      </c>
      <c r="T8" s="180"/>
      <c r="U8" s="181">
        <v>2021</v>
      </c>
      <c r="V8" s="180"/>
      <c r="W8" s="180"/>
      <c r="X8" s="181" t="s">
        <v>249</v>
      </c>
      <c r="Y8" s="181" t="s">
        <v>143</v>
      </c>
      <c r="Z8" s="181" t="s">
        <v>253</v>
      </c>
      <c r="AA8" s="181" t="s">
        <v>280</v>
      </c>
    </row>
    <row r="9" spans="2:27" ht="23.25" x14ac:dyDescent="0.35">
      <c r="B9" s="9" t="s">
        <v>29</v>
      </c>
      <c r="C9" s="10" t="s">
        <v>30</v>
      </c>
      <c r="D9" s="11" t="s">
        <v>31</v>
      </c>
      <c r="E9" s="33">
        <v>44275</v>
      </c>
      <c r="F9" s="34">
        <v>6.458333333333334E-2</v>
      </c>
      <c r="G9" s="28">
        <v>7</v>
      </c>
      <c r="H9" s="28">
        <v>77</v>
      </c>
      <c r="L9" s="4" t="s">
        <v>188</v>
      </c>
      <c r="O9" s="4" t="s">
        <v>248</v>
      </c>
      <c r="P9" s="4" t="s">
        <v>251</v>
      </c>
      <c r="Q9" s="4" t="s">
        <v>254</v>
      </c>
      <c r="R9" s="4" t="s">
        <v>281</v>
      </c>
      <c r="T9" s="180"/>
      <c r="U9" s="181" t="s">
        <v>188</v>
      </c>
      <c r="V9" s="180"/>
      <c r="W9" s="180"/>
      <c r="X9" s="181" t="s">
        <v>248</v>
      </c>
      <c r="Y9" s="181" t="s">
        <v>251</v>
      </c>
      <c r="Z9" s="181" t="s">
        <v>254</v>
      </c>
      <c r="AA9" s="181" t="s">
        <v>281</v>
      </c>
    </row>
    <row r="10" spans="2:27" ht="26.25" x14ac:dyDescent="0.35">
      <c r="B10" s="9" t="s">
        <v>33</v>
      </c>
      <c r="C10" s="10" t="s">
        <v>34</v>
      </c>
      <c r="D10" s="11" t="s">
        <v>35</v>
      </c>
      <c r="E10" s="33">
        <v>44275</v>
      </c>
      <c r="F10" s="29">
        <v>0.3923611111111111</v>
      </c>
      <c r="G10" s="28">
        <v>5</v>
      </c>
      <c r="H10" s="28">
        <v>67</v>
      </c>
      <c r="L10" s="4" t="s">
        <v>244</v>
      </c>
      <c r="M10" s="4" t="s">
        <v>245</v>
      </c>
      <c r="N10" s="4" t="s">
        <v>246</v>
      </c>
      <c r="O10" s="4" t="s">
        <v>149</v>
      </c>
      <c r="P10" s="4" t="s">
        <v>82</v>
      </c>
      <c r="Q10" s="4" t="s">
        <v>82</v>
      </c>
      <c r="R10" s="4" t="s">
        <v>285</v>
      </c>
      <c r="T10" s="180"/>
      <c r="U10" s="181" t="s">
        <v>244</v>
      </c>
      <c r="V10" s="181" t="s">
        <v>287</v>
      </c>
      <c r="W10" s="181" t="s">
        <v>246</v>
      </c>
      <c r="X10" s="181" t="s">
        <v>149</v>
      </c>
      <c r="Y10" s="181" t="s">
        <v>82</v>
      </c>
      <c r="Z10" s="181" t="s">
        <v>82</v>
      </c>
      <c r="AA10" s="181" t="s">
        <v>285</v>
      </c>
    </row>
    <row r="11" spans="2:27" ht="23.25" x14ac:dyDescent="0.35">
      <c r="B11" s="9" t="s">
        <v>36</v>
      </c>
      <c r="C11" s="10" t="s">
        <v>37</v>
      </c>
      <c r="D11" s="11" t="s">
        <v>38</v>
      </c>
      <c r="E11" s="33">
        <v>44275</v>
      </c>
      <c r="F11" s="29">
        <v>0.68472222222222223</v>
      </c>
      <c r="G11" s="28">
        <v>2</v>
      </c>
      <c r="H11" s="28">
        <v>79</v>
      </c>
      <c r="K11" s="156" t="s">
        <v>243</v>
      </c>
      <c r="L11" s="157">
        <v>0.53402777777777777</v>
      </c>
      <c r="M11" s="11">
        <v>-23</v>
      </c>
      <c r="N11" s="11">
        <v>71</v>
      </c>
      <c r="O11" s="158">
        <v>7.0000000000000007E-2</v>
      </c>
      <c r="P11" s="159">
        <v>0</v>
      </c>
      <c r="Q11" s="11">
        <v>0.66900000000000004</v>
      </c>
      <c r="R11" s="11">
        <v>418</v>
      </c>
      <c r="T11" s="183" t="s">
        <v>243</v>
      </c>
      <c r="U11" s="184">
        <v>0.53402777777777777</v>
      </c>
      <c r="V11" s="185">
        <v>-37</v>
      </c>
      <c r="W11" s="185">
        <v>63</v>
      </c>
      <c r="X11" s="186">
        <v>7.0000000000000007E-2</v>
      </c>
      <c r="Y11" s="187">
        <v>0</v>
      </c>
      <c r="Z11" s="185">
        <v>0.66900000000000004</v>
      </c>
      <c r="AA11" s="185">
        <v>418</v>
      </c>
    </row>
    <row r="12" spans="2:27" ht="23.25" x14ac:dyDescent="0.35">
      <c r="B12" s="68" t="s">
        <v>39</v>
      </c>
      <c r="C12" s="10" t="s">
        <v>40</v>
      </c>
      <c r="D12" s="11" t="s">
        <v>41</v>
      </c>
      <c r="E12" s="33">
        <v>44641</v>
      </c>
      <c r="F12" s="29">
        <v>0.19166666666666665</v>
      </c>
      <c r="G12" s="28">
        <v>-2</v>
      </c>
      <c r="H12" s="28">
        <v>66</v>
      </c>
      <c r="K12" t="s">
        <v>189</v>
      </c>
      <c r="L12" s="150">
        <v>0.53541666666666665</v>
      </c>
      <c r="M12" s="4">
        <v>31</v>
      </c>
      <c r="N12" s="4">
        <v>67</v>
      </c>
      <c r="O12" s="4">
        <v>2.9390000000000001</v>
      </c>
      <c r="P12" s="4">
        <v>117.5</v>
      </c>
      <c r="Q12" s="4">
        <v>0.871</v>
      </c>
      <c r="R12" s="4">
        <v>321</v>
      </c>
      <c r="T12" s="180" t="s">
        <v>189</v>
      </c>
      <c r="U12" s="188">
        <v>0.53541666666666665</v>
      </c>
      <c r="V12" s="181">
        <v>32</v>
      </c>
      <c r="W12" s="181">
        <v>62</v>
      </c>
      <c r="X12" s="181">
        <v>18.878</v>
      </c>
      <c r="Y12" s="181">
        <v>117.5</v>
      </c>
      <c r="Z12" s="181">
        <v>0.871</v>
      </c>
      <c r="AA12" s="181">
        <v>323</v>
      </c>
    </row>
    <row r="13" spans="2:27" ht="23.25" x14ac:dyDescent="0.35">
      <c r="B13" s="12" t="s">
        <v>42</v>
      </c>
      <c r="C13" s="13" t="s">
        <v>43</v>
      </c>
      <c r="D13" s="8" t="s">
        <v>44</v>
      </c>
      <c r="E13" s="33">
        <v>44275</v>
      </c>
      <c r="F13" s="29">
        <v>0.14791666666666667</v>
      </c>
      <c r="G13" s="28">
        <v>1</v>
      </c>
      <c r="H13" s="28">
        <v>68</v>
      </c>
      <c r="K13" s="156" t="s">
        <v>188</v>
      </c>
      <c r="L13" s="157">
        <v>0.52777777777777779</v>
      </c>
      <c r="M13" s="11">
        <v>-2</v>
      </c>
      <c r="N13" s="11">
        <v>66</v>
      </c>
      <c r="O13" s="11">
        <v>18.878</v>
      </c>
      <c r="P13" s="11">
        <v>42.3</v>
      </c>
      <c r="Q13" s="11">
        <v>0.77300000000000002</v>
      </c>
      <c r="R13" s="11">
        <v>362</v>
      </c>
      <c r="T13" s="183" t="s">
        <v>188</v>
      </c>
      <c r="U13" s="184">
        <v>0.52777777777777779</v>
      </c>
      <c r="V13" s="185">
        <v>-2</v>
      </c>
      <c r="W13" s="185">
        <v>91</v>
      </c>
      <c r="X13" s="185">
        <v>2.9390000000000001</v>
      </c>
      <c r="Y13" s="185">
        <v>42.3</v>
      </c>
      <c r="Z13" s="185">
        <v>0.77900000000000003</v>
      </c>
      <c r="AA13" s="185">
        <v>363</v>
      </c>
    </row>
    <row r="14" spans="2:27" ht="23.25" x14ac:dyDescent="0.35">
      <c r="B14" s="9" t="s">
        <v>77</v>
      </c>
      <c r="C14" s="10" t="s">
        <v>78</v>
      </c>
      <c r="D14" s="11" t="s">
        <v>79</v>
      </c>
      <c r="E14" s="33">
        <v>44275</v>
      </c>
      <c r="F14" s="34">
        <v>0.3527777777777778</v>
      </c>
      <c r="G14" s="28">
        <v>18</v>
      </c>
      <c r="H14" s="28">
        <v>23</v>
      </c>
      <c r="K14" s="156" t="s">
        <v>190</v>
      </c>
      <c r="L14" s="157">
        <v>0.53472222222222221</v>
      </c>
      <c r="M14" s="11">
        <v>39</v>
      </c>
      <c r="N14" s="11">
        <v>5</v>
      </c>
      <c r="O14" s="11">
        <v>2.6440000000000001</v>
      </c>
      <c r="P14" s="11">
        <v>83.1</v>
      </c>
      <c r="Q14" s="11">
        <v>0.89900000000000002</v>
      </c>
      <c r="R14" s="11">
        <v>311</v>
      </c>
      <c r="T14" s="183" t="s">
        <v>190</v>
      </c>
      <c r="U14" s="184">
        <v>0.53472222222222221</v>
      </c>
      <c r="V14" s="185">
        <v>39</v>
      </c>
      <c r="W14" s="185">
        <v>6</v>
      </c>
      <c r="X14" s="185">
        <v>2.6440000000000001</v>
      </c>
      <c r="Y14" s="185">
        <v>83.1</v>
      </c>
      <c r="Z14" s="185">
        <v>0.89900000000000002</v>
      </c>
      <c r="AA14" s="185">
        <v>311</v>
      </c>
    </row>
    <row r="15" spans="2:27" x14ac:dyDescent="0.25">
      <c r="B15" s="9" t="s">
        <v>45</v>
      </c>
      <c r="C15" s="10" t="s">
        <v>46</v>
      </c>
      <c r="D15" s="11" t="s">
        <v>47</v>
      </c>
      <c r="E15" s="33">
        <v>44275</v>
      </c>
      <c r="F15" s="29">
        <v>0.39583333333333331</v>
      </c>
      <c r="G15" s="28">
        <v>27</v>
      </c>
      <c r="H15" s="28">
        <v>83</v>
      </c>
    </row>
    <row r="16" spans="2:27" x14ac:dyDescent="0.25">
      <c r="B16" s="26" t="s">
        <v>49</v>
      </c>
      <c r="C16" s="27" t="s">
        <v>50</v>
      </c>
      <c r="D16" s="21" t="s">
        <v>51</v>
      </c>
      <c r="E16" s="33">
        <v>44275</v>
      </c>
      <c r="F16" s="29">
        <v>0.68541666666666667</v>
      </c>
      <c r="G16" s="28">
        <v>29</v>
      </c>
      <c r="H16" s="28">
        <v>82</v>
      </c>
    </row>
    <row r="17" spans="2:8" x14ac:dyDescent="0.25">
      <c r="B17" s="9" t="s">
        <v>172</v>
      </c>
      <c r="C17" s="10" t="s">
        <v>83</v>
      </c>
      <c r="D17" s="4" t="s">
        <v>84</v>
      </c>
      <c r="E17" s="33">
        <v>44275</v>
      </c>
      <c r="F17" s="29">
        <v>0.4777777777777778</v>
      </c>
      <c r="G17" s="28">
        <v>31</v>
      </c>
      <c r="H17" s="28">
        <v>67</v>
      </c>
    </row>
    <row r="18" spans="2:8" x14ac:dyDescent="0.25">
      <c r="B18" s="9" t="s">
        <v>52</v>
      </c>
      <c r="C18" s="10" t="s">
        <v>53</v>
      </c>
      <c r="D18" s="4" t="s">
        <v>54</v>
      </c>
      <c r="E18" s="33">
        <v>44275</v>
      </c>
      <c r="F18" s="29">
        <v>0.2298611111111111</v>
      </c>
      <c r="G18" s="28">
        <v>11</v>
      </c>
      <c r="H18" s="28">
        <v>63</v>
      </c>
    </row>
    <row r="19" spans="2:8" x14ac:dyDescent="0.25">
      <c r="B19" s="9" t="s">
        <v>55</v>
      </c>
      <c r="C19" s="10" t="s">
        <v>56</v>
      </c>
      <c r="D19" s="11" t="s">
        <v>57</v>
      </c>
      <c r="E19" s="33">
        <v>44275</v>
      </c>
      <c r="F19" s="29">
        <v>0.43888888888888888</v>
      </c>
      <c r="G19" s="28">
        <v>20</v>
      </c>
      <c r="H19" s="28">
        <v>93</v>
      </c>
    </row>
    <row r="20" spans="2:8" x14ac:dyDescent="0.25">
      <c r="B20" s="15" t="s">
        <v>59</v>
      </c>
      <c r="C20" s="16" t="s">
        <v>60</v>
      </c>
      <c r="D20" s="4" t="s">
        <v>61</v>
      </c>
      <c r="E20" s="33">
        <v>44275</v>
      </c>
      <c r="F20" s="29">
        <v>0.81527777777777777</v>
      </c>
      <c r="G20" s="28">
        <v>18</v>
      </c>
      <c r="H20" s="28">
        <v>64</v>
      </c>
    </row>
    <row r="21" spans="2:8" x14ac:dyDescent="0.25">
      <c r="B21" s="9" t="s">
        <v>62</v>
      </c>
      <c r="C21" s="10" t="s">
        <v>63</v>
      </c>
      <c r="D21" s="11" t="s">
        <v>64</v>
      </c>
      <c r="E21" s="33">
        <v>44275</v>
      </c>
      <c r="F21" s="29">
        <v>0.89513888888888893</v>
      </c>
      <c r="G21" s="28">
        <v>14</v>
      </c>
      <c r="H21" s="28">
        <v>83</v>
      </c>
    </row>
    <row r="22" spans="2:8" x14ac:dyDescent="0.25">
      <c r="B22" s="15" t="s">
        <v>65</v>
      </c>
      <c r="C22" s="16" t="s">
        <v>66</v>
      </c>
      <c r="D22" s="4" t="s">
        <v>67</v>
      </c>
      <c r="E22" s="33">
        <v>44275</v>
      </c>
      <c r="F22" s="29">
        <v>0.2298611111111111</v>
      </c>
      <c r="G22" s="28">
        <v>3</v>
      </c>
      <c r="H22" s="28">
        <v>73</v>
      </c>
    </row>
    <row r="23" spans="2:8" x14ac:dyDescent="0.25">
      <c r="B23" s="9" t="s">
        <v>69</v>
      </c>
      <c r="C23" s="10" t="s">
        <v>70</v>
      </c>
      <c r="D23" s="18" t="s">
        <v>71</v>
      </c>
      <c r="E23" s="33">
        <v>44275</v>
      </c>
      <c r="F23" s="29">
        <v>0.89513888888888893</v>
      </c>
      <c r="G23" s="28">
        <v>-23</v>
      </c>
      <c r="H23" s="28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21st of month</vt:lpstr>
      <vt:lpstr>Sheet2</vt:lpstr>
      <vt:lpstr>Sheet1</vt:lpstr>
      <vt:lpstr>T vs Weight WV</vt:lpstr>
      <vt:lpstr>T vs WV </vt:lpstr>
      <vt:lpstr>T vs HumRat</vt:lpstr>
      <vt:lpstr>T vs HumRat (2)</vt:lpstr>
      <vt:lpstr>Temp vs Ent dry</vt:lpstr>
      <vt:lpstr>Temp vs Ent Wet</vt:lpstr>
      <vt:lpstr>T vs Spec Vol</vt:lpstr>
      <vt:lpstr>Grams CO2</vt:lpstr>
      <vt:lpstr>Temp vs WV Factor</vt:lpstr>
      <vt:lpstr>CO2 vs T All points</vt:lpstr>
      <vt:lpstr>CO2 vs T Arc Ant</vt:lpstr>
      <vt:lpstr>'21st of month'!Print_Area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 D</dc:creator>
  <cp:lastModifiedBy>H. Douglas Lightfoot</cp:lastModifiedBy>
  <cp:lastPrinted>2023-11-20T16:52:19Z</cp:lastPrinted>
  <dcterms:created xsi:type="dcterms:W3CDTF">2019-03-16T23:38:42Z</dcterms:created>
  <dcterms:modified xsi:type="dcterms:W3CDTF">2023-11-29T20:55:13Z</dcterms:modified>
</cp:coreProperties>
</file>