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las Lightfoot\Documents\AWORK\FOSSFUEL\IPCC 2007\Energy &amp; Environment 2024\GWP calculations\"/>
    </mc:Choice>
  </mc:AlternateContent>
  <xr:revisionPtr revIDLastSave="0" documentId="13_ncr:1_{831A384A-81AD-412F-884B-0E034E141E8F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T vs Weight WV" sheetId="31" r:id="rId1"/>
    <sheet name="T vs WV " sheetId="30" r:id="rId2"/>
    <sheet name="T vs HumRat" sheetId="26" r:id="rId3"/>
    <sheet name="21st of month" sheetId="8" r:id="rId4"/>
    <sheet name="Sheet2" sheetId="39" r:id="rId5"/>
  </sheets>
  <definedNames>
    <definedName name="_xlnm._FilterDatabase" localSheetId="3" hidden="1">'21st of month'!#REF!</definedName>
    <definedName name="_xlnm.Print_Area" localSheetId="3">'21st of month'!#REF!</definedName>
  </definedNames>
  <calcPr calcId="191029"/>
</workbook>
</file>

<file path=xl/calcChain.xml><?xml version="1.0" encoding="utf-8"?>
<calcChain xmlns="http://schemas.openxmlformats.org/spreadsheetml/2006/main">
  <c r="L12" i="8" l="1"/>
  <c r="AV15" i="8"/>
  <c r="AW15" i="8" s="1"/>
  <c r="AX15" i="8" s="1"/>
  <c r="AV14" i="8"/>
  <c r="AW14" i="8" s="1"/>
  <c r="AX14" i="8" s="1"/>
  <c r="AV13" i="8"/>
  <c r="AW13" i="8" s="1"/>
  <c r="AX13" i="8" s="1"/>
  <c r="AM15" i="8"/>
  <c r="AN15" i="8" s="1"/>
  <c r="AM14" i="8"/>
  <c r="AN14" i="8" s="1"/>
  <c r="AM13" i="8"/>
  <c r="AN13" i="8" s="1"/>
  <c r="AD15" i="8"/>
  <c r="AE15" i="8" s="1"/>
  <c r="AD14" i="8"/>
  <c r="AE14" i="8" s="1"/>
  <c r="AD13" i="8"/>
  <c r="AR15" i="8"/>
  <c r="AR14" i="8"/>
  <c r="AR13" i="8"/>
  <c r="AE13" i="8" l="1"/>
  <c r="L15" i="8"/>
  <c r="M15" i="8" s="1"/>
  <c r="L14" i="8"/>
  <c r="M14" i="8" s="1"/>
  <c r="L13" i="8"/>
  <c r="M13" i="8" s="1"/>
  <c r="X13" i="8"/>
  <c r="T14" i="8"/>
  <c r="T15" i="8"/>
  <c r="X15" i="8"/>
  <c r="O13" i="8"/>
  <c r="O15" i="8"/>
  <c r="X14" i="8"/>
  <c r="T13" i="8"/>
  <c r="O14" i="8"/>
  <c r="P15" i="8" l="1"/>
  <c r="P14" i="8"/>
  <c r="P13" i="8"/>
  <c r="M12" i="8" l="1"/>
  <c r="T12" i="8"/>
  <c r="X12" i="8"/>
  <c r="O12" i="8"/>
  <c r="AI15" i="8" l="1"/>
  <c r="AL15" i="8" s="1"/>
  <c r="AI13" i="8"/>
  <c r="AI14" i="8"/>
  <c r="AL14" i="8" s="1"/>
  <c r="AO14" i="8" s="1"/>
  <c r="Y15" i="8"/>
  <c r="Y14" i="8"/>
  <c r="Y13" i="8"/>
  <c r="Z13" i="8" s="1"/>
  <c r="P12" i="8"/>
  <c r="AC13" i="8" l="1"/>
  <c r="AF13" i="8" s="1"/>
  <c r="AL24" i="8" s="1"/>
  <c r="AO15" i="8"/>
  <c r="AL13" i="8"/>
  <c r="AO13" i="8" s="1"/>
  <c r="Z14" i="8"/>
  <c r="AC14" i="8" s="1"/>
  <c r="AF14" i="8" s="1"/>
  <c r="AL25" i="8" s="1"/>
  <c r="Z15" i="8"/>
  <c r="AC15" i="8" s="1"/>
  <c r="AJ25" i="8" l="1"/>
  <c r="AZ13" i="8"/>
  <c r="AJ24" i="8"/>
  <c r="AZ14" i="8"/>
  <c r="AJ26" i="8"/>
  <c r="AF15" i="8"/>
  <c r="AL26" i="8" s="1"/>
  <c r="AZ15" i="8" l="1"/>
</calcChain>
</file>

<file path=xl/sharedStrings.xml><?xml version="1.0" encoding="utf-8"?>
<sst xmlns="http://schemas.openxmlformats.org/spreadsheetml/2006/main" count="289" uniqueCount="184">
  <si>
    <t>Local</t>
  </si>
  <si>
    <t>Pressure</t>
  </si>
  <si>
    <t>Latitude</t>
  </si>
  <si>
    <t>Longitude</t>
  </si>
  <si>
    <t>Date</t>
  </si>
  <si>
    <t>Time</t>
  </si>
  <si>
    <t>Pascals</t>
  </si>
  <si>
    <t>Bar</t>
  </si>
  <si>
    <t>Code</t>
  </si>
  <si>
    <t>Pond Inlet, Canada</t>
  </si>
  <si>
    <t>W</t>
  </si>
  <si>
    <t>Above Arctic Circle</t>
  </si>
  <si>
    <t>Mid-latitudes North</t>
  </si>
  <si>
    <t>Water</t>
  </si>
  <si>
    <t>Excel spreadsheet prepared by H. D. Lightfoot</t>
  </si>
  <si>
    <t>Current weather</t>
  </si>
  <si>
    <t>grams/kg</t>
  </si>
  <si>
    <t>dry air</t>
  </si>
  <si>
    <t>Cloudy</t>
  </si>
  <si>
    <t>Humidair</t>
  </si>
  <si>
    <t>enthalpy</t>
  </si>
  <si>
    <t>Hm</t>
  </si>
  <si>
    <t>Cubic m/</t>
  </si>
  <si>
    <t>kg dry air</t>
  </si>
  <si>
    <t>Va</t>
  </si>
  <si>
    <t>meters</t>
  </si>
  <si>
    <t>ppm</t>
  </si>
  <si>
    <t>ΔT</t>
  </si>
  <si>
    <t>Specific</t>
  </si>
  <si>
    <t>CO2</t>
  </si>
  <si>
    <t>volume</t>
  </si>
  <si>
    <t>Amsterdam</t>
  </si>
  <si>
    <t>Princeton, NJ</t>
  </si>
  <si>
    <t>Colorado Springs, CO</t>
  </si>
  <si>
    <t>cloudy</t>
  </si>
  <si>
    <t>Light rain</t>
  </si>
  <si>
    <t>kJ/oC</t>
  </si>
  <si>
    <t>Total</t>
  </si>
  <si>
    <t>52° 22'N</t>
  </si>
  <si>
    <t>4° 53' E</t>
  </si>
  <si>
    <t>38° 50' N</t>
  </si>
  <si>
    <t>104° 49' W</t>
  </si>
  <si>
    <t>40°21 N</t>
  </si>
  <si>
    <t xml:space="preserve"> 74°39' W</t>
  </si>
  <si>
    <t>Weather station</t>
  </si>
  <si>
    <r>
      <t>72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42' N</t>
    </r>
  </si>
  <si>
    <r>
      <t>77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58' W</t>
    </r>
  </si>
  <si>
    <t>CH4</t>
  </si>
  <si>
    <t>N2O</t>
  </si>
  <si>
    <t>heat</t>
  </si>
  <si>
    <t xml:space="preserve">Specific </t>
  </si>
  <si>
    <t>Δ</t>
  </si>
  <si>
    <t>Heat</t>
  </si>
  <si>
    <t>Content, kJ</t>
  </si>
  <si>
    <t>Enthalpy</t>
  </si>
  <si>
    <t>oC</t>
  </si>
  <si>
    <t>Water vapor</t>
  </si>
  <si>
    <t>kg/kg dry air</t>
  </si>
  <si>
    <t>Carbon dioxide, CO2</t>
  </si>
  <si>
    <t>Methane, CH4</t>
  </si>
  <si>
    <t>Nitrous oxide, N2O</t>
  </si>
  <si>
    <t>between</t>
  </si>
  <si>
    <t>locations</t>
  </si>
  <si>
    <t>contribution</t>
  </si>
  <si>
    <t>to temp.</t>
  </si>
  <si>
    <t>rise</t>
  </si>
  <si>
    <t>J/kgK</t>
  </si>
  <si>
    <r>
      <rPr>
        <sz val="11"/>
        <color theme="1"/>
        <rFont val="Calibri"/>
        <family val="2"/>
        <scheme val="minor"/>
      </rPr>
      <t xml:space="preserve">To the reader: If you do not have Humidair, some numbers might not be available. The missing numbers are in </t>
    </r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>.</t>
    </r>
  </si>
  <si>
    <t>RH, %</t>
  </si>
  <si>
    <t>Elevation</t>
  </si>
  <si>
    <t>by CO2</t>
  </si>
  <si>
    <t>Increase</t>
  </si>
  <si>
    <t>by CH4</t>
  </si>
  <si>
    <t>by N2O</t>
  </si>
  <si>
    <t>Colorado Springs</t>
  </si>
  <si>
    <t>Details of the Excel calculations to help the reader</t>
  </si>
  <si>
    <t>A</t>
  </si>
  <si>
    <t>Weather station number</t>
  </si>
  <si>
    <t>B</t>
  </si>
  <si>
    <t xml:space="preserve">Location of the weather station </t>
  </si>
  <si>
    <t>C</t>
  </si>
  <si>
    <t>Weather station name</t>
  </si>
  <si>
    <t>D</t>
  </si>
  <si>
    <t>Weather station latitude</t>
  </si>
  <si>
    <t>E</t>
  </si>
  <si>
    <t>Weather station longitude</t>
  </si>
  <si>
    <t>F</t>
  </si>
  <si>
    <t>G</t>
  </si>
  <si>
    <t>H</t>
  </si>
  <si>
    <t>I</t>
  </si>
  <si>
    <t>Relative humidity, %</t>
  </si>
  <si>
    <t>J</t>
  </si>
  <si>
    <t>Weather at the time of recording the temperature and RH</t>
  </si>
  <si>
    <t>K</t>
  </si>
  <si>
    <t>Elevation of the weather station, meters</t>
  </si>
  <si>
    <t>L</t>
  </si>
  <si>
    <t>Pressure in pascals: =+((101325*(1-(2.25577*10^-5)*(K12))^5.25588)). Formula from: https://www.engineeringtoolbox.com/air-altitude-pressure-d_462.html</t>
  </si>
  <si>
    <t>M</t>
  </si>
  <si>
    <t>N</t>
  </si>
  <si>
    <t>O</t>
  </si>
  <si>
    <t>P</t>
  </si>
  <si>
    <t>Grams water vapor per kg of dry air</t>
  </si>
  <si>
    <t>Q</t>
  </si>
  <si>
    <t>S</t>
  </si>
  <si>
    <t>T</t>
  </si>
  <si>
    <t>Moist air enthalpy, kilojoules</t>
  </si>
  <si>
    <t xml:space="preserve">U </t>
  </si>
  <si>
    <t>Same as column T</t>
  </si>
  <si>
    <t>Same as column P</t>
  </si>
  <si>
    <t>X</t>
  </si>
  <si>
    <t>HumidairTdbRHPsi(H12, I12,M12,W12). This is the setup for the Humidair program to give specific volume as cubic meters per kg of dry air</t>
  </si>
  <si>
    <t>Y</t>
  </si>
  <si>
    <t>Z</t>
  </si>
  <si>
    <t>Grams of CO2 per kg of dry air = =+(Y12/1000000)*(44*(1000/29)). 44 is the molecular weight of CO2 and 29 is the molecular weight of dry air.</t>
  </si>
  <si>
    <t>AA</t>
  </si>
  <si>
    <t>AB</t>
  </si>
  <si>
    <t>AC</t>
  </si>
  <si>
    <t>AD</t>
  </si>
  <si>
    <t>Enthalpy between Pond Inlet and the weather station of interest.</t>
  </si>
  <si>
    <t>AE</t>
  </si>
  <si>
    <t>AF</t>
  </si>
  <si>
    <t>Contribution of CO2 to the temperature rise, +AC13/AE13</t>
  </si>
  <si>
    <t>AH</t>
  </si>
  <si>
    <t>Specific volume, cubic meters per kg of dry air</t>
  </si>
  <si>
    <t>AI</t>
  </si>
  <si>
    <t>Methane grams/kg of dry air</t>
  </si>
  <si>
    <t>AJ</t>
  </si>
  <si>
    <t>Specific heat of methane, CH4, Joules/kgK</t>
  </si>
  <si>
    <t>AK</t>
  </si>
  <si>
    <r>
      <t xml:space="preserve">Difference in temperature between Pond Inlet and the waether station of interest, </t>
    </r>
    <r>
      <rPr>
        <sz val="11"/>
        <rFont val="Calibri"/>
        <family val="2"/>
      </rPr>
      <t>ΔT</t>
    </r>
  </si>
  <si>
    <t>AL</t>
  </si>
  <si>
    <t>Methane heat content, kJ</t>
  </si>
  <si>
    <t>AM</t>
  </si>
  <si>
    <t>AN</t>
  </si>
  <si>
    <t>AO</t>
  </si>
  <si>
    <t>Contribution of CH4 to the temperature rise, =+AL13/AN13</t>
  </si>
  <si>
    <t>AR</t>
  </si>
  <si>
    <t>Nitrous oxide grams per kg of dry air</t>
  </si>
  <si>
    <t>AS</t>
  </si>
  <si>
    <t>Specific heat, K/kgK</t>
  </si>
  <si>
    <t>AT</t>
  </si>
  <si>
    <t>AU</t>
  </si>
  <si>
    <t>AW</t>
  </si>
  <si>
    <t>Nitrous oxide heat content, kJ</t>
  </si>
  <si>
    <t>AX</t>
  </si>
  <si>
    <t>AZ</t>
  </si>
  <si>
    <t>Total contibution of all three gases to temperature rise</t>
  </si>
  <si>
    <t>% of CO2</t>
  </si>
  <si>
    <t>Temperature</t>
  </si>
  <si>
    <t>Calculation of temperature increase by methane and nitrous oxide as a percentage of the increase by CO2:</t>
  </si>
  <si>
    <t>This Excel spreadsheet was developed with the Humidair psychrometric program behind it.</t>
  </si>
  <si>
    <t>All times start at Montreal Eastern time</t>
  </si>
  <si>
    <t>to temperature</t>
  </si>
  <si>
    <t>Column and description</t>
  </si>
  <si>
    <t>The level of CO2 was 422.3 ppm when the temperatures and relative humidity for the eight weather station locations were recorded in the Excel spreadsheet on December 30, 2023.</t>
  </si>
  <si>
    <t>specific</t>
  </si>
  <si>
    <t>kJ per</t>
  </si>
  <si>
    <t>Weather station Location</t>
  </si>
  <si>
    <t>Date of temperature and relative humidity recorded</t>
  </si>
  <si>
    <t>Local time of temperature and relative humidity recorded</t>
  </si>
  <si>
    <r>
      <t xml:space="preserve">Temp,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</si>
  <si>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Local temperature, 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</t>
    </r>
  </si>
  <si>
    <t>Presure in bar = Pascals/100000. The value in bar is required for the Humidair program</t>
  </si>
  <si>
    <t>The Humidair code "W" for kg of water vapor per kg of dry air</t>
  </si>
  <si>
    <t>HumidairTdbRHPsi(H12, I12,M12,N12). This is the setup for the Humidair program to give kilograms (kg) of water vapor per kg of dry air</t>
  </si>
  <si>
    <t>Humidair code "Hm" for moist air enthalpy</t>
  </si>
  <si>
    <t>moist air</t>
  </si>
  <si>
    <t>Humidair code "Va" for specific volume</t>
  </si>
  <si>
    <t xml:space="preserve">Measured CO2 = 418.06 ppm. Calculated CO2 = 418.06 x the ratio of specific volumes = X12/X13. </t>
  </si>
  <si>
    <r>
      <t>Specific heat of CO2 at 15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C.</t>
    </r>
  </si>
  <si>
    <t>Difference in temperature between Pond Inlet and the weather station of interest, ΔT</t>
  </si>
  <si>
    <t>CO2 heat content: Z13 x AA13 x AB13 kilojoules</t>
  </si>
  <si>
    <t>locations, kJ</t>
  </si>
  <si>
    <r>
      <t>kJ/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</si>
  <si>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AQ</t>
  </si>
  <si>
    <t>AV</t>
  </si>
  <si>
    <t>Enthlapy between locations, kJ</t>
  </si>
  <si>
    <t>kJ</t>
  </si>
  <si>
    <t>Kilojoules per degree Celsius between Pond inlet and the weather station of interest, =+AD13/AB13</t>
  </si>
  <si>
    <t>Contribution of N2O to the temperature rise =+AU13/AW13</t>
  </si>
  <si>
    <t>The level of CO2 used in Table 2 of this study is 418.06 ppm, the average level in August 2023. The slight difference of 4.24 ppm has no significant effect on the results.</t>
  </si>
  <si>
    <t>kilojoules per degree Celsius between locations</t>
  </si>
  <si>
    <t>Excel calculations for study "Known and reliable physics demand revision of the IPCC Global Warming Potentials"</t>
  </si>
  <si>
    <t>Filoe: Excel calculations for GWP Mar 10 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</si>
</sst>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"/>
    <numFmt numFmtId="165" formatCode="0.000000"/>
    <numFmt numFmtId="166" formatCode="[$-409]d/mmm;@"/>
    <numFmt numFmtId="167" formatCode="0.000"/>
    <numFmt numFmtId="168" formatCode="0.0000"/>
    <numFmt numFmtId="169" formatCode="_-* #,##0.0000000_-;\-* #,##0.0000000_-;_-* &quot;-&quot;??_-;_-@_-"/>
    <numFmt numFmtId="170" formatCode="0.0000000"/>
    <numFmt numFmtId="171" formatCode="hh:mm"/>
    <numFmt numFmtId="172" formatCode="_-* #,##0.00000000_-;\-* #,##0.00000000_-;_-* &quot;-&quot;??_-;_-@_-"/>
    <numFmt numFmtId="173" formatCode="0.00000000"/>
    <numFmt numFmtId="174" formatCode="0.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1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8" xfId="0" applyBorder="1"/>
    <xf numFmtId="0" fontId="0" fillId="0" borderId="8" xfId="0" applyBorder="1" applyAlignment="1">
      <alignment horizontal="center"/>
    </xf>
    <xf numFmtId="16" fontId="5" fillId="0" borderId="0" xfId="0" applyNumberFormat="1" applyFont="1"/>
    <xf numFmtId="0" fontId="0" fillId="0" borderId="7" xfId="0" applyBorder="1"/>
    <xf numFmtId="167" fontId="0" fillId="0" borderId="2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2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9" fontId="0" fillId="0" borderId="0" xfId="1" applyNumberFormat="1" applyFont="1"/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8" fontId="0" fillId="0" borderId="0" xfId="0" applyNumberFormat="1"/>
    <xf numFmtId="167" fontId="1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166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20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67" fontId="1" fillId="0" borderId="5" xfId="0" applyNumberFormat="1" applyFont="1" applyBorder="1" applyAlignment="1">
      <alignment horizontal="center"/>
    </xf>
    <xf numFmtId="167" fontId="0" fillId="0" borderId="0" xfId="0" applyNumberFormat="1"/>
    <xf numFmtId="167" fontId="10" fillId="0" borderId="2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167" fontId="0" fillId="0" borderId="10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9" fontId="0" fillId="0" borderId="2" xfId="1" applyNumberFormat="1" applyFont="1" applyBorder="1"/>
    <xf numFmtId="168" fontId="0" fillId="0" borderId="2" xfId="0" applyNumberForma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9" fontId="0" fillId="0" borderId="2" xfId="0" applyNumberFormat="1" applyBorder="1" applyAlignment="1">
      <alignment horizontal="center"/>
    </xf>
    <xf numFmtId="172" fontId="0" fillId="0" borderId="2" xfId="1" applyNumberFormat="1" applyFont="1" applyBorder="1"/>
    <xf numFmtId="169" fontId="0" fillId="0" borderId="5" xfId="1" applyNumberFormat="1" applyFont="1" applyBorder="1"/>
    <xf numFmtId="172" fontId="0" fillId="0" borderId="5" xfId="1" applyNumberFormat="1" applyFont="1" applyBorder="1"/>
    <xf numFmtId="174" fontId="0" fillId="0" borderId="2" xfId="2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73" fontId="0" fillId="0" borderId="5" xfId="0" applyNumberFormat="1" applyBorder="1" applyAlignment="1">
      <alignment horizontal="center"/>
    </xf>
    <xf numFmtId="173" fontId="0" fillId="0" borderId="2" xfId="0" applyNumberFormat="1" applyBorder="1" applyAlignment="1">
      <alignment horizontal="center"/>
    </xf>
    <xf numFmtId="172" fontId="0" fillId="0" borderId="2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Temperature vs. ratio of weights WV to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21-Mar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month'!$H$12:$H$15</c:f>
              <c:numCache>
                <c:formatCode>General</c:formatCode>
                <c:ptCount val="4"/>
                <c:pt idx="0">
                  <c:v>-18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65-4367-805B-658E3236500B}"/>
            </c:ext>
          </c:extLst>
        </c:ser>
        <c:ser>
          <c:idx val="1"/>
          <c:order val="1"/>
          <c:tx>
            <c:v>21-Apr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65-4367-805B-658E3236500B}"/>
            </c:ext>
          </c:extLst>
        </c:ser>
        <c:ser>
          <c:idx val="2"/>
          <c:order val="2"/>
          <c:tx>
            <c:v>21-May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65-4367-805B-658E3236500B}"/>
            </c:ext>
          </c:extLst>
        </c:ser>
        <c:ser>
          <c:idx val="3"/>
          <c:order val="3"/>
          <c:tx>
            <c:v>21-Jun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965-4367-805B-658E3236500B}"/>
            </c:ext>
          </c:extLst>
        </c:ser>
        <c:ser>
          <c:idx val="4"/>
          <c:order val="4"/>
          <c:tx>
            <c:v>21-Jul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965-4367-805B-658E3236500B}"/>
            </c:ext>
          </c:extLst>
        </c:ser>
        <c:ser>
          <c:idx val="5"/>
          <c:order val="5"/>
          <c:tx>
            <c:v>21-Aug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965-4367-805B-658E3236500B}"/>
            </c:ext>
          </c:extLst>
        </c:ser>
        <c:ser>
          <c:idx val="6"/>
          <c:order val="6"/>
          <c:tx>
            <c:v>21-Sep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965-4367-805B-658E3236500B}"/>
            </c:ext>
          </c:extLst>
        </c:ser>
        <c:ser>
          <c:idx val="8"/>
          <c:order val="7"/>
          <c:tx>
            <c:v> Oct 21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965-4367-805B-658E3236500B}"/>
            </c:ext>
          </c:extLst>
        </c:ser>
        <c:ser>
          <c:idx val="10"/>
          <c:order val="8"/>
          <c:tx>
            <c:v>21-Nov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965-4367-805B-658E3236500B}"/>
            </c:ext>
          </c:extLst>
        </c:ser>
        <c:ser>
          <c:idx val="9"/>
          <c:order val="9"/>
          <c:tx>
            <c:v>21-Dec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965-4367-805B-658E3236500B}"/>
            </c:ext>
          </c:extLst>
        </c:ser>
        <c:ser>
          <c:idx val="11"/>
          <c:order val="10"/>
          <c:tx>
            <c:v>21-Jan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965-4367-805B-658E3236500B}"/>
            </c:ext>
          </c:extLst>
        </c:ser>
        <c:ser>
          <c:idx val="12"/>
          <c:order val="11"/>
          <c:tx>
            <c:v>21-Feb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965-4367-805B-658E32365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12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Ratio weight WV to weight 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10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Temperature vs. Water vapor molecules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21-Mar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  <c:numCache>
                <c:formatCode>General</c:formatCode>
                <c:ptCount val="8"/>
                <c:pt idx="0" formatCode="0.0">
                  <c:v>0.77610052295883125</c:v>
                </c:pt>
                <c:pt idx="2" formatCode="0.0">
                  <c:v>21.865254028782619</c:v>
                </c:pt>
                <c:pt idx="3" formatCode="0.0">
                  <c:v>16.909164953967537</c:v>
                </c:pt>
                <c:pt idx="4" formatCode="0.0">
                  <c:v>9.4665455129549532</c:v>
                </c:pt>
                <c:pt idx="5" formatCode="0.0">
                  <c:v>92.585271260520202</c:v>
                </c:pt>
                <c:pt idx="6" formatCode="0.0">
                  <c:v>96.230723155843734</c:v>
                </c:pt>
                <c:pt idx="7" formatCode="0.0">
                  <c:v>1.3792448503787573</c:v>
                </c:pt>
              </c:numCache>
            </c:numRef>
          </c:xVal>
          <c:yVal>
            <c:numRef>
              <c:f>'21st of month'!$H$12:$H$15</c:f>
              <c:numCache>
                <c:formatCode>General</c:formatCode>
                <c:ptCount val="4"/>
                <c:pt idx="0">
                  <c:v>-18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5B-4AFA-B1F8-CC4DEB8BC601}"/>
            </c:ext>
          </c:extLst>
        </c:ser>
        <c:ser>
          <c:idx val="1"/>
          <c:order val="1"/>
          <c:tx>
            <c:v>21-Apr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5B-4AFA-B1F8-CC4DEB8BC601}"/>
            </c:ext>
          </c:extLst>
        </c:ser>
        <c:ser>
          <c:idx val="2"/>
          <c:order val="2"/>
          <c:tx>
            <c:v>21-May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5B-4AFA-B1F8-CC4DEB8BC601}"/>
            </c:ext>
          </c:extLst>
        </c:ser>
        <c:ser>
          <c:idx val="3"/>
          <c:order val="3"/>
          <c:tx>
            <c:v>21-Jun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5B-4AFA-B1F8-CC4DEB8BC601}"/>
            </c:ext>
          </c:extLst>
        </c:ser>
        <c:ser>
          <c:idx val="4"/>
          <c:order val="4"/>
          <c:tx>
            <c:v>21-Jul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5B-4AFA-B1F8-CC4DEB8BC601}"/>
            </c:ext>
          </c:extLst>
        </c:ser>
        <c:ser>
          <c:idx val="5"/>
          <c:order val="5"/>
          <c:tx>
            <c:v>21-Aug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45B-4AFA-B1F8-CC4DEB8BC601}"/>
            </c:ext>
          </c:extLst>
        </c:ser>
        <c:ser>
          <c:idx val="6"/>
          <c:order val="6"/>
          <c:tx>
            <c:v>21-Sep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45B-4AFA-B1F8-CC4DEB8BC601}"/>
            </c:ext>
          </c:extLst>
        </c:ser>
        <c:ser>
          <c:idx val="8"/>
          <c:order val="7"/>
          <c:tx>
            <c:v> Oct 21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45B-4AFA-B1F8-CC4DEB8BC601}"/>
            </c:ext>
          </c:extLst>
        </c:ser>
        <c:ser>
          <c:idx val="10"/>
          <c:order val="8"/>
          <c:tx>
            <c:v>21-Nov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45B-4AFA-B1F8-CC4DEB8BC601}"/>
            </c:ext>
          </c:extLst>
        </c:ser>
        <c:ser>
          <c:idx val="9"/>
          <c:order val="9"/>
          <c:tx>
            <c:v>21-Dec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45B-4AFA-B1F8-CC4DEB8BC601}"/>
            </c:ext>
          </c:extLst>
        </c:ser>
        <c:ser>
          <c:idx val="11"/>
          <c:order val="10"/>
          <c:tx>
            <c:v>21-Jan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45B-4AFA-B1F8-CC4DEB8BC601}"/>
            </c:ext>
          </c:extLst>
        </c:ser>
        <c:ser>
          <c:idx val="12"/>
          <c:order val="11"/>
          <c:tx>
            <c:v>21-Feb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45B-4AFA-B1F8-CC4DEB8B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120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Number of water vapor molecules per molecule 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10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CA" b="1" i="0" baseline="0">
                <a:latin typeface="Arial" panose="020B0604020202020204" pitchFamily="34" charset="0"/>
              </a:rPr>
              <a:t>Temperature vs. humidity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21-Mar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  <c:numCache>
                <c:formatCode>General</c:formatCode>
                <c:ptCount val="8"/>
              </c:numCache>
            </c:numRef>
          </c:xVal>
          <c:yVal>
            <c:numRef>
              <c:f>'21st of month'!$H$12:$H$15</c:f>
              <c:numCache>
                <c:formatCode>General</c:formatCode>
                <c:ptCount val="4"/>
                <c:pt idx="0">
                  <c:v>-18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FB-49A5-ADF2-54D8DF9D6917}"/>
            </c:ext>
          </c:extLst>
        </c:ser>
        <c:ser>
          <c:idx val="1"/>
          <c:order val="1"/>
          <c:tx>
            <c:v>21-Apr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FB-49A5-ADF2-54D8DF9D6917}"/>
            </c:ext>
          </c:extLst>
        </c:ser>
        <c:ser>
          <c:idx val="2"/>
          <c:order val="2"/>
          <c:tx>
            <c:v>21-May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FB-49A5-ADF2-54D8DF9D6917}"/>
            </c:ext>
          </c:extLst>
        </c:ser>
        <c:ser>
          <c:idx val="3"/>
          <c:order val="3"/>
          <c:tx>
            <c:v>21-Jun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FB-49A5-ADF2-54D8DF9D6917}"/>
            </c:ext>
          </c:extLst>
        </c:ser>
        <c:ser>
          <c:idx val="4"/>
          <c:order val="4"/>
          <c:tx>
            <c:v>21-Jul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7FB-49A5-ADF2-54D8DF9D6917}"/>
            </c:ext>
          </c:extLst>
        </c:ser>
        <c:ser>
          <c:idx val="5"/>
          <c:order val="5"/>
          <c:tx>
            <c:v>21-Aug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FB-49A5-ADF2-54D8DF9D6917}"/>
            </c:ext>
          </c:extLst>
        </c:ser>
        <c:ser>
          <c:idx val="6"/>
          <c:order val="6"/>
          <c:tx>
            <c:v>21-Sep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7FB-49A5-ADF2-54D8DF9D6917}"/>
            </c:ext>
          </c:extLst>
        </c:ser>
        <c:ser>
          <c:idx val="8"/>
          <c:order val="7"/>
          <c:tx>
            <c:v> Oct 21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7FB-49A5-ADF2-54D8DF9D6917}"/>
            </c:ext>
          </c:extLst>
        </c:ser>
        <c:ser>
          <c:idx val="10"/>
          <c:order val="8"/>
          <c:tx>
            <c:v>21-Nov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7FB-49A5-ADF2-54D8DF9D6917}"/>
            </c:ext>
          </c:extLst>
        </c:ser>
        <c:ser>
          <c:idx val="9"/>
          <c:order val="9"/>
          <c:tx>
            <c:v>21-Dec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7FB-49A5-ADF2-54D8DF9D6917}"/>
            </c:ext>
          </c:extLst>
        </c:ser>
        <c:ser>
          <c:idx val="11"/>
          <c:order val="10"/>
          <c:tx>
            <c:v>21-Jan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7FB-49A5-ADF2-54D8DF9D6917}"/>
            </c:ext>
          </c:extLst>
        </c:ser>
        <c:ser>
          <c:idx val="12"/>
          <c:order val="11"/>
          <c:tx>
            <c:v>21-Feb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'21st of month'!#REF!</c:f>
            </c:numRef>
          </c:xVal>
          <c:yVal>
            <c:numRef>
              <c:f>'21st of month'!#REF!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7FB-49A5-ADF2-54D8DF9D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12248"/>
        <c:axId val="481311920"/>
      </c:scatterChart>
      <c:valAx>
        <c:axId val="481312248"/>
        <c:scaling>
          <c:orientation val="minMax"/>
          <c:max val="24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Humidity ratio, grams of water per kg dry air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9525"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1920"/>
        <c:crossesAt val="-50"/>
        <c:crossBetween val="midCat"/>
        <c:majorUnit val="2"/>
      </c:valAx>
      <c:valAx>
        <c:axId val="481311920"/>
        <c:scaling>
          <c:orientation val="minMax"/>
          <c:max val="50"/>
          <c:min val="-5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sz="1400" b="1" i="0" baseline="0">
                    <a:latin typeface="Arial" panose="020B0604020202020204" pitchFamily="34" charset="0"/>
                  </a:rPr>
                  <a:t> Dry bulb temperature, </a:t>
                </a:r>
                <a:r>
                  <a:rPr lang="en-US" sz="1400" b="1" i="0" baseline="30000">
                    <a:latin typeface="Arial" panose="020B0604020202020204" pitchFamily="34" charset="0"/>
                  </a:rPr>
                  <a:t>o</a:t>
                </a:r>
                <a:r>
                  <a:rPr lang="en-US" sz="1400" b="1" i="0" baseline="0">
                    <a:latin typeface="Arial" panose="020B0604020202020204" pitchFamily="34" charset="0"/>
                  </a:rPr>
                  <a:t>C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ln w="0">
                  <a:solidFill>
                    <a:schemeClr val="tx1">
                      <a:alpha val="97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1312248"/>
        <c:crossesAt val="0"/>
        <c:crossBetween val="midCat"/>
      </c:valAx>
      <c:spPr>
        <a:noFill/>
        <a:ln>
          <a:solidFill>
            <a:srgbClr val="00B05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683A87-AA41-41CC-A7F7-1C2EB0F963F7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F53EE0-27E3-413F-8DF4-A85114464931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7C0539-D955-48E2-AA61-EE3CC7052E20}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A0EE48-A3F3-13BE-64C6-C054E8B057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D14CCB-18C2-C6BB-04FF-7C86E1C91C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A6705-E04B-41FA-BC74-333C62D31A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65"/>
  <sheetViews>
    <sheetView tabSelected="1" zoomScale="110" zoomScaleNormal="110" zoomScaleSheetLayoutView="100" workbookViewId="0"/>
  </sheetViews>
  <sheetFormatPr defaultRowHeight="15" x14ac:dyDescent="0.25"/>
  <cols>
    <col min="1" max="1" width="3.7109375" customWidth="1"/>
    <col min="2" max="2" width="22.28515625" customWidth="1"/>
    <col min="3" max="3" width="27" customWidth="1"/>
    <col min="4" max="4" width="13.140625" bestFit="1" customWidth="1"/>
    <col min="5" max="5" width="10.7109375" customWidth="1"/>
    <col min="6" max="6" width="11.28515625" customWidth="1"/>
    <col min="7" max="7" width="12.7109375" customWidth="1"/>
    <col min="8" max="8" width="13.5703125" customWidth="1"/>
    <col min="9" max="9" width="10.140625" bestFit="1" customWidth="1"/>
    <col min="10" max="10" width="16.85546875" customWidth="1"/>
    <col min="11" max="11" width="11" bestFit="1" customWidth="1"/>
    <col min="12" max="12" width="11.140625" customWidth="1"/>
    <col min="13" max="14" width="10" bestFit="1" customWidth="1"/>
    <col min="15" max="15" width="14.5703125" customWidth="1"/>
    <col min="17" max="17" width="11.85546875" customWidth="1"/>
    <col min="18" max="18" width="1.85546875" customWidth="1"/>
    <col min="19" max="19" width="11.5703125" bestFit="1" customWidth="1"/>
    <col min="21" max="21" width="10.5703125" customWidth="1"/>
    <col min="22" max="22" width="3.140625" customWidth="1"/>
    <col min="25" max="32" width="10.7109375" customWidth="1"/>
    <col min="33" max="33" width="3.28515625" customWidth="1"/>
    <col min="35" max="35" width="11" customWidth="1"/>
    <col min="37" max="37" width="12.85546875" bestFit="1" customWidth="1"/>
    <col min="38" max="38" width="12.5703125" customWidth="1"/>
    <col min="41" max="41" width="11" customWidth="1"/>
    <col min="42" max="42" width="3.42578125" customWidth="1"/>
    <col min="47" max="47" width="12.85546875" bestFit="1" customWidth="1"/>
    <col min="50" max="50" width="12.5703125" customWidth="1"/>
    <col min="51" max="51" width="3" customWidth="1"/>
    <col min="52" max="52" width="12.28515625" customWidth="1"/>
  </cols>
  <sheetData>
    <row r="1" spans="1:52" x14ac:dyDescent="0.25">
      <c r="A1" s="1" t="s">
        <v>182</v>
      </c>
      <c r="J1" t="s">
        <v>183</v>
      </c>
    </row>
    <row r="2" spans="1:52" x14ac:dyDescent="0.25">
      <c r="A2" t="s">
        <v>14</v>
      </c>
      <c r="Y2" s="25"/>
      <c r="Z2" s="25"/>
      <c r="AA2" s="25"/>
      <c r="AB2" s="25"/>
      <c r="AC2" s="25"/>
      <c r="AD2" s="25"/>
      <c r="AE2" s="25"/>
      <c r="AF2" s="25"/>
      <c r="AG2" s="25"/>
    </row>
    <row r="3" spans="1:52" x14ac:dyDescent="0.25">
      <c r="K3" s="1"/>
    </row>
    <row r="4" spans="1:52" x14ac:dyDescent="0.25">
      <c r="A4" t="s">
        <v>151</v>
      </c>
      <c r="AU4" s="28"/>
    </row>
    <row r="5" spans="1:52" x14ac:dyDescent="0.25">
      <c r="A5" t="s">
        <v>150</v>
      </c>
      <c r="T5" s="85" t="s">
        <v>19</v>
      </c>
      <c r="U5" s="51" t="s">
        <v>19</v>
      </c>
    </row>
    <row r="6" spans="1:52" x14ac:dyDescent="0.25">
      <c r="A6" s="1" t="s">
        <v>67</v>
      </c>
      <c r="K6" s="2"/>
      <c r="M6" s="20"/>
      <c r="N6" s="17"/>
      <c r="O6" s="17"/>
      <c r="P6" s="32"/>
      <c r="T6" s="86" t="s">
        <v>155</v>
      </c>
      <c r="U6" s="52" t="s">
        <v>155</v>
      </c>
      <c r="W6" s="94" t="s">
        <v>58</v>
      </c>
      <c r="X6" s="95"/>
      <c r="Y6" s="95"/>
      <c r="Z6" s="95"/>
      <c r="AA6" s="95"/>
      <c r="AB6" s="95"/>
      <c r="AC6" s="95"/>
      <c r="AD6" s="95"/>
      <c r="AE6" s="95"/>
      <c r="AF6" s="96"/>
      <c r="AG6" s="24"/>
      <c r="AH6" s="94" t="s">
        <v>59</v>
      </c>
      <c r="AI6" s="95"/>
      <c r="AJ6" s="95"/>
      <c r="AK6" s="95"/>
      <c r="AL6" s="95"/>
      <c r="AM6" s="95"/>
      <c r="AN6" s="95"/>
      <c r="AO6" s="97"/>
      <c r="AQ6" s="94" t="s">
        <v>60</v>
      </c>
      <c r="AR6" s="95"/>
      <c r="AS6" s="95"/>
      <c r="AT6" s="95"/>
      <c r="AU6" s="95"/>
      <c r="AV6" s="95"/>
      <c r="AW6" s="95"/>
      <c r="AX6" s="97"/>
    </row>
    <row r="7" spans="1:52" x14ac:dyDescent="0.25">
      <c r="A7" t="s">
        <v>154</v>
      </c>
      <c r="K7" s="2"/>
      <c r="M7" s="20"/>
      <c r="N7" s="17"/>
      <c r="O7" s="17"/>
      <c r="P7" s="32"/>
      <c r="T7" s="86" t="s">
        <v>166</v>
      </c>
      <c r="U7" s="52" t="s">
        <v>166</v>
      </c>
      <c r="X7" s="13" t="s">
        <v>28</v>
      </c>
      <c r="AF7" s="19" t="s">
        <v>29</v>
      </c>
      <c r="AG7" s="24"/>
      <c r="AH7" s="13" t="s">
        <v>28</v>
      </c>
      <c r="AO7" s="19" t="s">
        <v>47</v>
      </c>
      <c r="AQ7" s="13" t="s">
        <v>28</v>
      </c>
      <c r="AV7" s="67" t="s">
        <v>51</v>
      </c>
      <c r="AX7" s="19" t="s">
        <v>48</v>
      </c>
      <c r="AZ7" s="19" t="s">
        <v>37</v>
      </c>
    </row>
    <row r="8" spans="1:52" x14ac:dyDescent="0.25">
      <c r="A8" t="s">
        <v>180</v>
      </c>
      <c r="K8" s="2"/>
      <c r="M8" s="20"/>
      <c r="N8" s="17"/>
      <c r="O8" s="17"/>
      <c r="P8" s="32"/>
      <c r="T8" s="86" t="s">
        <v>20</v>
      </c>
      <c r="U8" s="52" t="s">
        <v>20</v>
      </c>
      <c r="X8" s="13" t="s">
        <v>30</v>
      </c>
      <c r="AD8" s="67" t="s">
        <v>51</v>
      </c>
      <c r="AF8" s="13" t="s">
        <v>63</v>
      </c>
      <c r="AG8" s="24"/>
      <c r="AH8" s="13" t="s">
        <v>30</v>
      </c>
      <c r="AM8" s="67" t="s">
        <v>51</v>
      </c>
      <c r="AO8" s="13" t="s">
        <v>63</v>
      </c>
      <c r="AQ8" s="13" t="s">
        <v>30</v>
      </c>
      <c r="AV8" s="90" t="s">
        <v>54</v>
      </c>
      <c r="AX8" s="13" t="s">
        <v>63</v>
      </c>
      <c r="AZ8" s="13" t="s">
        <v>63</v>
      </c>
    </row>
    <row r="9" spans="1:52" ht="17.25" x14ac:dyDescent="0.25">
      <c r="C9" s="29"/>
      <c r="E9" s="33"/>
      <c r="F9" s="3"/>
      <c r="G9" s="33"/>
      <c r="P9" s="19" t="s">
        <v>13</v>
      </c>
      <c r="Q9" s="51" t="s">
        <v>13</v>
      </c>
      <c r="T9" s="86" t="s">
        <v>156</v>
      </c>
      <c r="U9" s="52" t="s">
        <v>156</v>
      </c>
      <c r="X9" s="13" t="s">
        <v>17</v>
      </c>
      <c r="Z9" s="69" t="s">
        <v>29</v>
      </c>
      <c r="AA9" s="19" t="s">
        <v>50</v>
      </c>
      <c r="AB9" s="3"/>
      <c r="AC9" s="69" t="s">
        <v>29</v>
      </c>
      <c r="AD9" s="71" t="s">
        <v>54</v>
      </c>
      <c r="AE9" s="69" t="s">
        <v>173</v>
      </c>
      <c r="AF9" s="13" t="s">
        <v>64</v>
      </c>
      <c r="AG9" s="24"/>
      <c r="AH9" s="55" t="s">
        <v>17</v>
      </c>
      <c r="AI9" s="19" t="s">
        <v>47</v>
      </c>
      <c r="AJ9" s="19" t="s">
        <v>50</v>
      </c>
      <c r="AK9" s="32"/>
      <c r="AL9" s="69" t="s">
        <v>47</v>
      </c>
      <c r="AM9" s="71" t="s">
        <v>54</v>
      </c>
      <c r="AN9" s="69" t="s">
        <v>36</v>
      </c>
      <c r="AO9" s="13" t="s">
        <v>64</v>
      </c>
      <c r="AQ9" s="55" t="s">
        <v>17</v>
      </c>
      <c r="AR9" s="19" t="s">
        <v>48</v>
      </c>
      <c r="AS9" s="19" t="s">
        <v>50</v>
      </c>
      <c r="AU9" s="69" t="s">
        <v>48</v>
      </c>
      <c r="AV9" s="13" t="s">
        <v>61</v>
      </c>
      <c r="AW9" s="89" t="s">
        <v>36</v>
      </c>
      <c r="AX9" s="13" t="s">
        <v>64</v>
      </c>
      <c r="AZ9" s="13" t="s">
        <v>152</v>
      </c>
    </row>
    <row r="10" spans="1:52" x14ac:dyDescent="0.25">
      <c r="G10" s="3" t="s">
        <v>0</v>
      </c>
      <c r="K10" s="3" t="s">
        <v>69</v>
      </c>
      <c r="L10" s="3" t="s">
        <v>1</v>
      </c>
      <c r="M10" s="3" t="s">
        <v>1</v>
      </c>
      <c r="N10" s="3" t="s">
        <v>19</v>
      </c>
      <c r="O10" s="3" t="s">
        <v>56</v>
      </c>
      <c r="P10" s="13" t="s">
        <v>16</v>
      </c>
      <c r="Q10" s="52" t="s">
        <v>16</v>
      </c>
      <c r="R10" s="3"/>
      <c r="S10" s="69" t="s">
        <v>19</v>
      </c>
      <c r="T10" s="86" t="s">
        <v>23</v>
      </c>
      <c r="U10" s="52" t="s">
        <v>23</v>
      </c>
      <c r="W10" s="19" t="s">
        <v>19</v>
      </c>
      <c r="X10" s="65" t="s">
        <v>22</v>
      </c>
      <c r="Y10" s="19" t="s">
        <v>29</v>
      </c>
      <c r="Z10" s="55" t="s">
        <v>16</v>
      </c>
      <c r="AA10" s="13" t="s">
        <v>49</v>
      </c>
      <c r="AC10" s="55" t="s">
        <v>52</v>
      </c>
      <c r="AD10" s="55" t="s">
        <v>61</v>
      </c>
      <c r="AE10" s="55" t="s">
        <v>61</v>
      </c>
      <c r="AF10" s="13" t="s">
        <v>65</v>
      </c>
      <c r="AG10" s="24"/>
      <c r="AH10" s="56" t="s">
        <v>22</v>
      </c>
      <c r="AI10" s="13" t="s">
        <v>16</v>
      </c>
      <c r="AJ10" s="13" t="s">
        <v>49</v>
      </c>
      <c r="AL10" s="55" t="s">
        <v>52</v>
      </c>
      <c r="AM10" s="55" t="s">
        <v>61</v>
      </c>
      <c r="AN10" s="55" t="s">
        <v>61</v>
      </c>
      <c r="AO10" s="13" t="s">
        <v>65</v>
      </c>
      <c r="AQ10" s="56" t="s">
        <v>22</v>
      </c>
      <c r="AR10" s="13" t="s">
        <v>16</v>
      </c>
      <c r="AS10" s="13" t="s">
        <v>49</v>
      </c>
      <c r="AU10" s="55" t="s">
        <v>52</v>
      </c>
      <c r="AV10" s="11" t="s">
        <v>62</v>
      </c>
      <c r="AW10" s="3" t="s">
        <v>61</v>
      </c>
      <c r="AX10" s="13" t="s">
        <v>65</v>
      </c>
      <c r="AZ10" s="13" t="s">
        <v>65</v>
      </c>
    </row>
    <row r="11" spans="1:52" ht="17.25" x14ac:dyDescent="0.25">
      <c r="A11" s="4"/>
      <c r="B11" s="4" t="s">
        <v>157</v>
      </c>
      <c r="C11" t="s">
        <v>44</v>
      </c>
      <c r="D11" t="s">
        <v>2</v>
      </c>
      <c r="E11" t="s">
        <v>3</v>
      </c>
      <c r="F11" s="3" t="s">
        <v>4</v>
      </c>
      <c r="G11" s="5" t="s">
        <v>5</v>
      </c>
      <c r="H11" s="3" t="s">
        <v>160</v>
      </c>
      <c r="I11" s="3" t="s">
        <v>68</v>
      </c>
      <c r="J11" s="3" t="s">
        <v>15</v>
      </c>
      <c r="K11" s="6" t="s">
        <v>25</v>
      </c>
      <c r="L11" s="15" t="s">
        <v>6</v>
      </c>
      <c r="M11" s="3" t="s">
        <v>7</v>
      </c>
      <c r="N11" s="3" t="s">
        <v>8</v>
      </c>
      <c r="O11" s="3" t="s">
        <v>57</v>
      </c>
      <c r="P11" s="11" t="s">
        <v>17</v>
      </c>
      <c r="Q11" s="53" t="s">
        <v>17</v>
      </c>
      <c r="R11" s="3"/>
      <c r="S11" s="72" t="s">
        <v>8</v>
      </c>
      <c r="T11" s="87" t="s">
        <v>17</v>
      </c>
      <c r="U11" s="53" t="s">
        <v>17</v>
      </c>
      <c r="W11" s="11" t="s">
        <v>8</v>
      </c>
      <c r="X11" s="66" t="s">
        <v>23</v>
      </c>
      <c r="Y11" s="11" t="s">
        <v>26</v>
      </c>
      <c r="Z11" s="72" t="s">
        <v>17</v>
      </c>
      <c r="AA11" s="11" t="s">
        <v>66</v>
      </c>
      <c r="AB11" s="75" t="s">
        <v>27</v>
      </c>
      <c r="AC11" s="70" t="s">
        <v>53</v>
      </c>
      <c r="AD11" s="72" t="s">
        <v>172</v>
      </c>
      <c r="AE11" s="72" t="s">
        <v>62</v>
      </c>
      <c r="AF11" s="11" t="s">
        <v>55</v>
      </c>
      <c r="AG11" s="24"/>
      <c r="AH11" s="57" t="s">
        <v>23</v>
      </c>
      <c r="AI11" s="11" t="s">
        <v>17</v>
      </c>
      <c r="AJ11" s="11" t="s">
        <v>66</v>
      </c>
      <c r="AK11" s="68" t="s">
        <v>27</v>
      </c>
      <c r="AL11" s="70" t="s">
        <v>53</v>
      </c>
      <c r="AM11" s="72" t="s">
        <v>62</v>
      </c>
      <c r="AN11" s="72" t="s">
        <v>62</v>
      </c>
      <c r="AO11" s="11" t="s">
        <v>55</v>
      </c>
      <c r="AQ11" s="57" t="s">
        <v>23</v>
      </c>
      <c r="AR11" s="11" t="s">
        <v>17</v>
      </c>
      <c r="AS11" s="11" t="s">
        <v>66</v>
      </c>
      <c r="AT11" s="8" t="s">
        <v>27</v>
      </c>
      <c r="AU11" s="70" t="s">
        <v>53</v>
      </c>
      <c r="AV11" s="13" t="s">
        <v>177</v>
      </c>
      <c r="AW11" s="3" t="s">
        <v>62</v>
      </c>
      <c r="AX11" s="13" t="s">
        <v>55</v>
      </c>
      <c r="AZ11" s="13" t="s">
        <v>55</v>
      </c>
    </row>
    <row r="12" spans="1:52" ht="17.25" x14ac:dyDescent="0.25">
      <c r="A12" s="14">
        <v>1</v>
      </c>
      <c r="B12" s="47" t="s">
        <v>11</v>
      </c>
      <c r="C12" s="7" t="s">
        <v>9</v>
      </c>
      <c r="D12" s="8" t="s">
        <v>45</v>
      </c>
      <c r="E12" s="14" t="s">
        <v>46</v>
      </c>
      <c r="F12" s="37">
        <v>45291</v>
      </c>
      <c r="G12" s="41">
        <v>0.68888888888888899</v>
      </c>
      <c r="H12" s="8">
        <v>-18</v>
      </c>
      <c r="I12" s="8">
        <v>84</v>
      </c>
      <c r="J12" s="8" t="s">
        <v>18</v>
      </c>
      <c r="K12" s="8">
        <v>32</v>
      </c>
      <c r="L12" s="38">
        <f>+((101325*(1-(2.25577*10^-5)*(K12))^5.25588))</f>
        <v>100941.16925190832</v>
      </c>
      <c r="M12" s="8">
        <f t="shared" ref="M12" si="0">+L12/100000</f>
        <v>1.0094116925190832</v>
      </c>
      <c r="N12" s="8" t="s">
        <v>10</v>
      </c>
      <c r="O12" s="8">
        <f>_xll.HumidairTdbRHPsi(H12,I12,M12,N12)</f>
        <v>6.5004219887533719E-4</v>
      </c>
      <c r="P12" s="22">
        <f t="shared" ref="P12" si="1">+O12*1000</f>
        <v>0.65004219887533721</v>
      </c>
      <c r="Q12" s="50">
        <v>0.65004219887533721</v>
      </c>
      <c r="R12" s="23"/>
      <c r="S12" s="11" t="s">
        <v>21</v>
      </c>
      <c r="T12" s="26">
        <f>_xll.HumidairTdbRHPsi(H12,I12,M12,S12)</f>
        <v>-16.498721741236743</v>
      </c>
      <c r="U12" s="54">
        <v>-16.498721741236743</v>
      </c>
      <c r="W12" s="11" t="s">
        <v>24</v>
      </c>
      <c r="X12" s="27">
        <f>_xll.HumidairTdbRHPsi(H12,I12,M12,W12)</f>
        <v>0.72497392889310353</v>
      </c>
      <c r="Y12" s="27">
        <v>418.06</v>
      </c>
      <c r="Z12" s="22">
        <v>0.63</v>
      </c>
      <c r="AA12" s="27">
        <v>0.83299999999999996</v>
      </c>
      <c r="AB12" s="60">
        <v>0</v>
      </c>
      <c r="AC12" s="48"/>
      <c r="AD12" s="48"/>
      <c r="AE12" s="34"/>
      <c r="AF12" s="34"/>
      <c r="AG12" s="34"/>
      <c r="AH12" s="27">
        <v>0.72497392889310353</v>
      </c>
      <c r="AI12" s="8">
        <v>1.0629999999999999E-3</v>
      </c>
      <c r="AJ12" s="22">
        <v>2.0289999999999999</v>
      </c>
      <c r="AK12" s="60">
        <v>0</v>
      </c>
      <c r="AL12" s="10"/>
      <c r="AN12" s="34"/>
      <c r="AO12" s="34"/>
      <c r="AQ12" s="58">
        <v>0.72497392889310353</v>
      </c>
      <c r="AR12" s="73">
        <v>5.1099999999999995E-4</v>
      </c>
      <c r="AS12" s="22">
        <v>0.88</v>
      </c>
      <c r="AT12" s="60">
        <v>0</v>
      </c>
      <c r="AU12" s="7"/>
      <c r="AV12" s="7"/>
      <c r="AW12" s="7"/>
      <c r="AX12" s="7"/>
      <c r="AY12" s="7"/>
      <c r="AZ12" s="7"/>
    </row>
    <row r="13" spans="1:52" x14ac:dyDescent="0.25">
      <c r="A13" s="14">
        <v>2</v>
      </c>
      <c r="B13" s="46" t="s">
        <v>12</v>
      </c>
      <c r="C13" s="43" t="s">
        <v>31</v>
      </c>
      <c r="D13" s="8" t="s">
        <v>38</v>
      </c>
      <c r="E13" s="8" t="s">
        <v>39</v>
      </c>
      <c r="F13" s="40">
        <v>45291</v>
      </c>
      <c r="G13" s="41">
        <v>0.94305555555555554</v>
      </c>
      <c r="H13" s="8">
        <v>8</v>
      </c>
      <c r="I13" s="8">
        <v>87</v>
      </c>
      <c r="J13" s="8" t="s">
        <v>35</v>
      </c>
      <c r="K13" s="42">
        <v>9</v>
      </c>
      <c r="L13" s="38">
        <f>+((101325*(1-(2.25577*10^-5)*(K13))^5.25588))</f>
        <v>101216.9283556498</v>
      </c>
      <c r="M13" s="8">
        <f t="shared" ref="M13:M15" si="2">+L13/100000</f>
        <v>1.0121692835564979</v>
      </c>
      <c r="N13" s="8" t="s">
        <v>10</v>
      </c>
      <c r="O13" s="8">
        <f>_xll.HumidairTdbRHPsi(H13,I13,M13,N13)</f>
        <v>5.8119220889798979E-3</v>
      </c>
      <c r="P13" s="22">
        <f t="shared" ref="P13:P15" si="3">+O13*1000</f>
        <v>5.8119220889798981</v>
      </c>
      <c r="Q13" s="50">
        <v>5.8119220889798981</v>
      </c>
      <c r="R13" s="49"/>
      <c r="S13" s="8" t="s">
        <v>21</v>
      </c>
      <c r="T13" s="26">
        <f>_xll.HumidairTdbRHPsi(H13,I13,M13,S13)</f>
        <v>22.662438766380042</v>
      </c>
      <c r="U13" s="54">
        <v>22.662438766380042</v>
      </c>
      <c r="W13" s="8" t="s">
        <v>24</v>
      </c>
      <c r="X13" s="27">
        <f>_xll.HumidairTdbRHPsi(H13,I13,M13,W13)</f>
        <v>0.79696580368637304</v>
      </c>
      <c r="Y13" s="23">
        <f>+Y12*(X12/X13)</f>
        <v>380.2956153339822</v>
      </c>
      <c r="Z13" s="22">
        <f t="shared" ref="Z13:Z15" si="4">+(Y13/1000000)*(44*(34.4827586206897))</f>
        <v>0.57700024395500826</v>
      </c>
      <c r="AA13" s="22">
        <v>0.83299999999999996</v>
      </c>
      <c r="AB13" s="60">
        <v>26</v>
      </c>
      <c r="AC13" s="62">
        <f>+(Z13/1000)*AA13*AB13</f>
        <v>1.2496671283577569E-2</v>
      </c>
      <c r="AD13" s="26">
        <f>22.7+16.5</f>
        <v>39.200000000000003</v>
      </c>
      <c r="AE13" s="22">
        <f>+AD13/AB13</f>
        <v>1.5076923076923079</v>
      </c>
      <c r="AF13" s="62">
        <f>+AC13/AE13</f>
        <v>8.2886085044136925E-3</v>
      </c>
      <c r="AH13" s="27">
        <v>0.79696580368637304</v>
      </c>
      <c r="AI13" s="88">
        <f>+(X12/X13)*AI12</f>
        <v>9.6697660407602502E-4</v>
      </c>
      <c r="AJ13" s="22">
        <v>2.0289999999999999</v>
      </c>
      <c r="AK13" s="60">
        <v>26</v>
      </c>
      <c r="AL13" s="61">
        <f t="shared" ref="AL13:AL15" si="5">+AI13*AJ13*AK13/1000</f>
        <v>5.1011883771426616E-5</v>
      </c>
      <c r="AM13" s="26">
        <f>22.7+16.5</f>
        <v>39.200000000000003</v>
      </c>
      <c r="AN13" s="22">
        <f>+AM13/AK13</f>
        <v>1.5076923076923079</v>
      </c>
      <c r="AO13" s="63">
        <f>+AL13/AN13</f>
        <v>3.3834412705538054E-5</v>
      </c>
      <c r="AQ13" s="58">
        <v>0.79696580368637304</v>
      </c>
      <c r="AR13" s="73">
        <f>+(AQ12/AQ13)*AR12</f>
        <v>4.648401172933667E-4</v>
      </c>
      <c r="AS13" s="22">
        <v>0.88</v>
      </c>
      <c r="AT13" s="60">
        <v>26</v>
      </c>
      <c r="AU13" s="93">
        <v>1.0635541883672229E-5</v>
      </c>
      <c r="AV13" s="39">
        <f>22.7+16.5</f>
        <v>39.200000000000003</v>
      </c>
      <c r="AW13" s="27">
        <f>+AV13/AT13</f>
        <v>1.5076923076923079</v>
      </c>
      <c r="AX13" s="91">
        <f>+AU13/AW13</f>
        <v>7.0541859432519877E-6</v>
      </c>
      <c r="AY13" s="3"/>
      <c r="AZ13" s="91">
        <f>+AX13+AO13+AF13</f>
        <v>8.3294971030624821E-3</v>
      </c>
    </row>
    <row r="14" spans="1:52" x14ac:dyDescent="0.25">
      <c r="A14" s="3">
        <v>3</v>
      </c>
      <c r="B14" s="12"/>
      <c r="C14" s="43" t="s">
        <v>33</v>
      </c>
      <c r="D14" s="8" t="s">
        <v>40</v>
      </c>
      <c r="E14" s="8" t="s">
        <v>41</v>
      </c>
      <c r="F14" s="40">
        <v>45291</v>
      </c>
      <c r="G14" s="41">
        <v>0.61111111111111105</v>
      </c>
      <c r="H14" s="8">
        <v>3</v>
      </c>
      <c r="I14" s="8">
        <v>50</v>
      </c>
      <c r="J14" s="8" t="s">
        <v>34</v>
      </c>
      <c r="K14" s="8">
        <v>1839</v>
      </c>
      <c r="L14" s="38">
        <f>+((101325*(1-(2.25577*10^-5)*(K14))^5.25588))</f>
        <v>81097.229913725445</v>
      </c>
      <c r="M14" s="8">
        <f t="shared" si="2"/>
        <v>0.81097229913725444</v>
      </c>
      <c r="N14" s="8" t="s">
        <v>10</v>
      </c>
      <c r="O14" s="8">
        <f>_xll.HumidairTdbRHPsi(H14,I14,M14,N14)</f>
        <v>2.9300780582635542E-3</v>
      </c>
      <c r="P14" s="22">
        <f t="shared" si="3"/>
        <v>2.9300780582635539</v>
      </c>
      <c r="Q14" s="50">
        <v>2.9300780582635539</v>
      </c>
      <c r="R14" s="49"/>
      <c r="S14" s="8" t="s">
        <v>21</v>
      </c>
      <c r="T14" s="26">
        <f>_xll.HumidairTdbRHPsi(H14,I14,M14,S14)</f>
        <v>10.414571359649502</v>
      </c>
      <c r="U14" s="54">
        <v>10.414571359649502</v>
      </c>
      <c r="W14" s="8" t="s">
        <v>24</v>
      </c>
      <c r="X14" s="27">
        <f>_xll.HumidairTdbRHPsi(H14,I14,M14,W14)</f>
        <v>0.97704475774350696</v>
      </c>
      <c r="Y14" s="23">
        <f>+Y12*(X12/X14)</f>
        <v>310.20339478922403</v>
      </c>
      <c r="Z14" s="22">
        <f t="shared" si="4"/>
        <v>0.47065342657675435</v>
      </c>
      <c r="AA14" s="22">
        <v>0.83299999999999996</v>
      </c>
      <c r="AB14" s="60">
        <v>21</v>
      </c>
      <c r="AC14" s="62">
        <f t="shared" ref="AC14:AC15" si="6">+(Z14/1000)*AA14*AB14</f>
        <v>8.2331403911071639E-3</v>
      </c>
      <c r="AD14" s="26">
        <f>16.5+10.4</f>
        <v>26.9</v>
      </c>
      <c r="AE14" s="22">
        <f t="shared" ref="AE14:AE15" si="7">+AD14/AB14</f>
        <v>1.2809523809523808</v>
      </c>
      <c r="AF14" s="62">
        <f t="shared" ref="AF14:AF15" si="8">+AC14/AE14</f>
        <v>6.4273586696375635E-3</v>
      </c>
      <c r="AG14" s="35"/>
      <c r="AH14" s="27">
        <v>0.97704475774350696</v>
      </c>
      <c r="AI14" s="88">
        <f>+(X12/X14)*AI12</f>
        <v>7.8875330971856948E-4</v>
      </c>
      <c r="AJ14" s="22">
        <v>2.0289999999999999</v>
      </c>
      <c r="AK14" s="60">
        <v>21</v>
      </c>
      <c r="AL14" s="61">
        <f t="shared" si="5"/>
        <v>3.3607989773798523E-5</v>
      </c>
      <c r="AM14" s="26">
        <f>16.5+10.4</f>
        <v>26.9</v>
      </c>
      <c r="AN14" s="22">
        <f t="shared" ref="AN14:AN15" si="9">+AM14/AK14</f>
        <v>1.2809523809523808</v>
      </c>
      <c r="AO14" s="63">
        <f t="shared" ref="AO14:AO15" si="10">+AL14/AN14</f>
        <v>2.6236720641255356E-5</v>
      </c>
      <c r="AQ14" s="58">
        <v>0.97704475774350696</v>
      </c>
      <c r="AR14" s="73">
        <f>+(AQ12/AQ14)*AR12</f>
        <v>3.791655138910527E-4</v>
      </c>
      <c r="AS14" s="22">
        <v>0.88</v>
      </c>
      <c r="AT14" s="60">
        <v>21</v>
      </c>
      <c r="AU14" s="93">
        <v>7.0069786967066531E-6</v>
      </c>
      <c r="AV14" s="26">
        <f>16.5+10.4</f>
        <v>26.9</v>
      </c>
      <c r="AW14" s="22">
        <f t="shared" ref="AW14:AW15" si="11">+AV14/AT14</f>
        <v>1.2809523809523808</v>
      </c>
      <c r="AX14" s="92">
        <f t="shared" ref="AX14:AX15" si="12">+AU14/AW14</f>
        <v>5.4701320680609561E-6</v>
      </c>
      <c r="AY14" s="3"/>
      <c r="AZ14" s="92">
        <f t="shared" ref="AZ14:AZ15" si="13">+AX14+AO14+AF14</f>
        <v>6.4590655223468801E-3</v>
      </c>
    </row>
    <row r="15" spans="1:52" x14ac:dyDescent="0.25">
      <c r="A15" s="3">
        <v>4</v>
      </c>
      <c r="B15" s="12"/>
      <c r="C15" s="43" t="s">
        <v>32</v>
      </c>
      <c r="D15" s="8" t="s">
        <v>42</v>
      </c>
      <c r="E15" s="8" t="s">
        <v>43</v>
      </c>
      <c r="F15" s="40">
        <v>45291</v>
      </c>
      <c r="G15" s="44">
        <v>0.69097222222222221</v>
      </c>
      <c r="H15" s="8">
        <v>4</v>
      </c>
      <c r="I15" s="8">
        <v>41</v>
      </c>
      <c r="J15" s="8" t="s">
        <v>18</v>
      </c>
      <c r="K15" s="8">
        <v>45</v>
      </c>
      <c r="L15" s="38">
        <f>+((101325*(1-(2.25577*10^-5)*(K15))^5.25588))</f>
        <v>100785.57471434522</v>
      </c>
      <c r="M15" s="8">
        <f t="shared" si="2"/>
        <v>1.0078557471434522</v>
      </c>
      <c r="N15" s="8" t="s">
        <v>10</v>
      </c>
      <c r="O15" s="8">
        <f>_xll.HumidairTdbRHPsi(H15,I15,M15,N15)</f>
        <v>2.0732391583900122E-3</v>
      </c>
      <c r="P15" s="22">
        <f t="shared" si="3"/>
        <v>2.0732391583900123</v>
      </c>
      <c r="Q15" s="50">
        <v>2.0732662240236306</v>
      </c>
      <c r="S15" s="8" t="s">
        <v>21</v>
      </c>
      <c r="T15" s="26">
        <f>_xll.HumidairTdbRHPsi(H15,I15,M15,S15)</f>
        <v>9.2235805938026463</v>
      </c>
      <c r="U15" s="54">
        <v>9.2236520256431316</v>
      </c>
      <c r="W15" s="8" t="s">
        <v>24</v>
      </c>
      <c r="X15" s="22">
        <f>_xll.HumidairTdbRHPsi(H15,I15,M15,W15)</f>
        <v>0.78895347562660478</v>
      </c>
      <c r="Y15" s="23">
        <f>+Y12*(X12/X15)</f>
        <v>384.15776097866325</v>
      </c>
      <c r="Z15" s="22">
        <f t="shared" si="4"/>
        <v>0.58286005114004158</v>
      </c>
      <c r="AA15" s="22">
        <v>0.83299999999999996</v>
      </c>
      <c r="AB15" s="60">
        <v>22</v>
      </c>
      <c r="AC15" s="62">
        <f t="shared" si="6"/>
        <v>1.0681493297192401E-2</v>
      </c>
      <c r="AD15" s="26">
        <f>16.5+9.2</f>
        <v>25.7</v>
      </c>
      <c r="AE15" s="22">
        <f t="shared" si="7"/>
        <v>1.1681818181818182</v>
      </c>
      <c r="AF15" s="62">
        <f t="shared" si="8"/>
        <v>9.1436907602425229E-3</v>
      </c>
      <c r="AG15" s="35"/>
      <c r="AH15" s="22">
        <v>0.78896378086991625</v>
      </c>
      <c r="AI15" s="88">
        <f>+(X12/X15)*AI12</f>
        <v>9.7679687107190129E-4</v>
      </c>
      <c r="AJ15" s="22">
        <v>2.0289999999999999</v>
      </c>
      <c r="AK15" s="60">
        <v>22</v>
      </c>
      <c r="AL15" s="61">
        <f t="shared" si="5"/>
        <v>4.3602258730907521E-5</v>
      </c>
      <c r="AM15" s="26">
        <f>16.5+9.2</f>
        <v>25.7</v>
      </c>
      <c r="AN15" s="22">
        <f t="shared" si="9"/>
        <v>1.1681818181818182</v>
      </c>
      <c r="AO15" s="63">
        <f t="shared" si="10"/>
        <v>3.7324890742411109E-5</v>
      </c>
      <c r="AQ15" s="59">
        <v>0.78896378086991625</v>
      </c>
      <c r="AR15" s="73">
        <f>+(AQ12/AQ15)*AR12</f>
        <v>4.6955473324251034E-4</v>
      </c>
      <c r="AS15" s="22">
        <v>0.88</v>
      </c>
      <c r="AT15" s="60">
        <v>22</v>
      </c>
      <c r="AU15" s="93">
        <v>9.0905796355750005E-6</v>
      </c>
      <c r="AV15" s="26">
        <f>16.5+9.2</f>
        <v>25.7</v>
      </c>
      <c r="AW15" s="22">
        <f t="shared" si="11"/>
        <v>1.1681818181818182</v>
      </c>
      <c r="AX15" s="92">
        <f t="shared" si="12"/>
        <v>7.7818191432937742E-6</v>
      </c>
      <c r="AY15" s="3"/>
      <c r="AZ15" s="92">
        <f t="shared" si="13"/>
        <v>9.1887974701282283E-3</v>
      </c>
    </row>
    <row r="16" spans="1:52" x14ac:dyDescent="0.25">
      <c r="B16" s="1"/>
      <c r="D16" s="3"/>
      <c r="E16" s="3"/>
      <c r="F16" s="30"/>
      <c r="G16" s="31"/>
      <c r="H16" s="3"/>
      <c r="I16" s="3"/>
      <c r="J16" s="3"/>
      <c r="K16" s="3"/>
      <c r="L16" s="36"/>
      <c r="M16" s="3"/>
      <c r="N16" s="3"/>
      <c r="O16" s="3"/>
      <c r="P16" s="23"/>
      <c r="Q16" s="23"/>
      <c r="R16" s="23"/>
      <c r="S16" s="3"/>
      <c r="T16" s="16"/>
      <c r="W16" s="3"/>
      <c r="X16" s="23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8" x14ac:dyDescent="0.25">
      <c r="A17" s="76" t="s">
        <v>75</v>
      </c>
      <c r="B17" s="77"/>
      <c r="C17" s="77"/>
      <c r="D17" s="64"/>
      <c r="E17" s="17"/>
      <c r="F17" s="17"/>
      <c r="G17" s="64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38" x14ac:dyDescent="0.25">
      <c r="A18" s="76" t="s">
        <v>153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38" x14ac:dyDescent="0.25">
      <c r="A19" s="78" t="s">
        <v>76</v>
      </c>
      <c r="B19" s="77" t="s">
        <v>77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AC19" s="1" t="s">
        <v>149</v>
      </c>
    </row>
    <row r="20" spans="1:38" x14ac:dyDescent="0.25">
      <c r="A20" s="78" t="s">
        <v>78</v>
      </c>
      <c r="B20" s="77" t="s">
        <v>79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AE20" s="18" t="s">
        <v>148</v>
      </c>
      <c r="AI20" s="18" t="s">
        <v>148</v>
      </c>
      <c r="AK20" s="18" t="s">
        <v>148</v>
      </c>
    </row>
    <row r="21" spans="1:38" x14ac:dyDescent="0.25">
      <c r="A21" s="78" t="s">
        <v>80</v>
      </c>
      <c r="B21" s="77" t="s">
        <v>81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AE21" s="13" t="s">
        <v>71</v>
      </c>
      <c r="AI21" s="13" t="s">
        <v>71</v>
      </c>
      <c r="AK21" s="13" t="s">
        <v>71</v>
      </c>
    </row>
    <row r="22" spans="1:38" x14ac:dyDescent="0.25">
      <c r="A22" s="3" t="s">
        <v>82</v>
      </c>
      <c r="B22" s="77" t="s">
        <v>83</v>
      </c>
      <c r="AE22" s="13" t="s">
        <v>70</v>
      </c>
      <c r="AI22" s="13" t="s">
        <v>72</v>
      </c>
      <c r="AK22" s="13" t="s">
        <v>73</v>
      </c>
    </row>
    <row r="23" spans="1:38" x14ac:dyDescent="0.25">
      <c r="A23" s="3" t="s">
        <v>84</v>
      </c>
      <c r="B23" s="77" t="s">
        <v>85</v>
      </c>
      <c r="AE23" s="11" t="s">
        <v>55</v>
      </c>
      <c r="AF23" s="45" t="s">
        <v>147</v>
      </c>
      <c r="AI23" s="11" t="s">
        <v>55</v>
      </c>
      <c r="AJ23" s="9" t="s">
        <v>147</v>
      </c>
      <c r="AK23" s="11" t="s">
        <v>55</v>
      </c>
      <c r="AL23" s="45" t="s">
        <v>147</v>
      </c>
    </row>
    <row r="24" spans="1:38" x14ac:dyDescent="0.25">
      <c r="A24" s="3" t="s">
        <v>86</v>
      </c>
      <c r="B24" s="77" t="s">
        <v>158</v>
      </c>
      <c r="AC24" s="21" t="s">
        <v>31</v>
      </c>
      <c r="AD24" s="43"/>
      <c r="AE24" s="74">
        <v>8.3732670661365236E-3</v>
      </c>
      <c r="AF24" s="80">
        <v>1</v>
      </c>
      <c r="AI24" s="82">
        <v>3.3834412705538054E-5</v>
      </c>
      <c r="AJ24" s="84">
        <f t="shared" ref="AJ24:AJ25" si="14">+AO13/AF13</f>
        <v>4.0820377373984055E-3</v>
      </c>
      <c r="AK24" s="83">
        <v>7.0541859432519877E-6</v>
      </c>
      <c r="AL24" s="84">
        <f>+AX13/AF13</f>
        <v>8.5106998834552584E-4</v>
      </c>
    </row>
    <row r="25" spans="1:38" x14ac:dyDescent="0.25">
      <c r="A25" s="3" t="s">
        <v>87</v>
      </c>
      <c r="B25" s="77" t="s">
        <v>159</v>
      </c>
      <c r="AC25" s="21" t="s">
        <v>74</v>
      </c>
      <c r="AD25" s="43"/>
      <c r="AE25" s="8">
        <v>6.493006714222916E-3</v>
      </c>
      <c r="AF25" s="80">
        <v>1</v>
      </c>
      <c r="AI25" s="61">
        <v>2.6236720641255356E-5</v>
      </c>
      <c r="AJ25" s="84">
        <f t="shared" si="14"/>
        <v>4.0820377373984073E-3</v>
      </c>
      <c r="AK25" s="81">
        <v>5.4701320680609561E-6</v>
      </c>
      <c r="AL25" s="84">
        <f>+AX14/AF14</f>
        <v>8.5106998834552595E-4</v>
      </c>
    </row>
    <row r="26" spans="1:38" ht="17.25" x14ac:dyDescent="0.25">
      <c r="A26" s="3" t="s">
        <v>88</v>
      </c>
      <c r="B26" s="77" t="s">
        <v>161</v>
      </c>
      <c r="AC26" s="21" t="s">
        <v>32</v>
      </c>
      <c r="AD26" s="43"/>
      <c r="AE26" s="88">
        <v>9.1436907602425229E-3</v>
      </c>
      <c r="AF26" s="80">
        <v>1</v>
      </c>
      <c r="AI26" s="61">
        <v>3.7324403214225406E-5</v>
      </c>
      <c r="AJ26" s="84">
        <f>+AO15/AF15</f>
        <v>4.0820377373984073E-3</v>
      </c>
      <c r="AK26" s="81">
        <v>7.7818191432937742E-6</v>
      </c>
      <c r="AL26" s="84">
        <f>+AX15/AF15</f>
        <v>8.5105887188680171E-4</v>
      </c>
    </row>
    <row r="27" spans="1:38" x14ac:dyDescent="0.25">
      <c r="A27" s="3" t="s">
        <v>89</v>
      </c>
      <c r="B27" s="77" t="s">
        <v>90</v>
      </c>
    </row>
    <row r="28" spans="1:38" x14ac:dyDescent="0.25">
      <c r="A28" s="3" t="s">
        <v>91</v>
      </c>
      <c r="B28" s="77" t="s">
        <v>92</v>
      </c>
    </row>
    <row r="29" spans="1:38" x14ac:dyDescent="0.25">
      <c r="A29" s="3" t="s">
        <v>93</v>
      </c>
      <c r="B29" s="77" t="s">
        <v>94</v>
      </c>
    </row>
    <row r="30" spans="1:38" x14ac:dyDescent="0.25">
      <c r="A30" s="3" t="s">
        <v>95</v>
      </c>
      <c r="B30" s="77" t="s">
        <v>96</v>
      </c>
    </row>
    <row r="31" spans="1:38" x14ac:dyDescent="0.25">
      <c r="A31" s="3" t="s">
        <v>97</v>
      </c>
      <c r="B31" s="77" t="s">
        <v>162</v>
      </c>
    </row>
    <row r="32" spans="1:38" x14ac:dyDescent="0.25">
      <c r="A32" s="3" t="s">
        <v>98</v>
      </c>
      <c r="B32" s="77" t="s">
        <v>163</v>
      </c>
    </row>
    <row r="33" spans="1:2" x14ac:dyDescent="0.25">
      <c r="A33" s="3" t="s">
        <v>99</v>
      </c>
      <c r="B33" s="77" t="s">
        <v>164</v>
      </c>
    </row>
    <row r="34" spans="1:2" x14ac:dyDescent="0.25">
      <c r="A34" s="3" t="s">
        <v>100</v>
      </c>
      <c r="B34" s="77" t="s">
        <v>101</v>
      </c>
    </row>
    <row r="35" spans="1:2" x14ac:dyDescent="0.25">
      <c r="A35" s="3" t="s">
        <v>102</v>
      </c>
      <c r="B35" s="79" t="s">
        <v>108</v>
      </c>
    </row>
    <row r="36" spans="1:2" x14ac:dyDescent="0.25">
      <c r="A36" s="3" t="s">
        <v>103</v>
      </c>
      <c r="B36" s="77" t="s">
        <v>165</v>
      </c>
    </row>
    <row r="37" spans="1:2" x14ac:dyDescent="0.25">
      <c r="A37" s="3" t="s">
        <v>104</v>
      </c>
      <c r="B37" s="77" t="s">
        <v>105</v>
      </c>
    </row>
    <row r="38" spans="1:2" x14ac:dyDescent="0.25">
      <c r="A38" s="3" t="s">
        <v>106</v>
      </c>
      <c r="B38" s="77" t="s">
        <v>107</v>
      </c>
    </row>
    <row r="39" spans="1:2" x14ac:dyDescent="0.25">
      <c r="A39" s="3" t="s">
        <v>10</v>
      </c>
      <c r="B39" s="77" t="s">
        <v>167</v>
      </c>
    </row>
    <row r="40" spans="1:2" x14ac:dyDescent="0.25">
      <c r="A40" s="3" t="s">
        <v>109</v>
      </c>
      <c r="B40" t="s">
        <v>110</v>
      </c>
    </row>
    <row r="41" spans="1:2" x14ac:dyDescent="0.25">
      <c r="A41" s="3" t="s">
        <v>111</v>
      </c>
      <c r="B41" s="77" t="s">
        <v>168</v>
      </c>
    </row>
    <row r="42" spans="1:2" x14ac:dyDescent="0.25">
      <c r="A42" s="3" t="s">
        <v>112</v>
      </c>
      <c r="B42" s="77" t="s">
        <v>113</v>
      </c>
    </row>
    <row r="43" spans="1:2" ht="17.25" x14ac:dyDescent="0.25">
      <c r="A43" s="3" t="s">
        <v>114</v>
      </c>
      <c r="B43" s="77" t="s">
        <v>169</v>
      </c>
    </row>
    <row r="44" spans="1:2" x14ac:dyDescent="0.25">
      <c r="A44" s="3" t="s">
        <v>115</v>
      </c>
      <c r="B44" s="77" t="s">
        <v>170</v>
      </c>
    </row>
    <row r="45" spans="1:2" x14ac:dyDescent="0.25">
      <c r="A45" s="3" t="s">
        <v>116</v>
      </c>
      <c r="B45" s="77" t="s">
        <v>171</v>
      </c>
    </row>
    <row r="46" spans="1:2" x14ac:dyDescent="0.25">
      <c r="A46" s="3" t="s">
        <v>117</v>
      </c>
      <c r="B46" s="77" t="s">
        <v>118</v>
      </c>
    </row>
    <row r="47" spans="1:2" x14ac:dyDescent="0.25">
      <c r="A47" s="3" t="s">
        <v>119</v>
      </c>
      <c r="B47" s="77" t="s">
        <v>178</v>
      </c>
    </row>
    <row r="48" spans="1:2" x14ac:dyDescent="0.25">
      <c r="A48" s="3" t="s">
        <v>120</v>
      </c>
      <c r="B48" s="77" t="s">
        <v>121</v>
      </c>
    </row>
    <row r="49" spans="1:2" x14ac:dyDescent="0.25">
      <c r="A49" s="3" t="s">
        <v>122</v>
      </c>
      <c r="B49" s="77" t="s">
        <v>123</v>
      </c>
    </row>
    <row r="50" spans="1:2" x14ac:dyDescent="0.25">
      <c r="A50" s="3" t="s">
        <v>124</v>
      </c>
      <c r="B50" s="77" t="s">
        <v>125</v>
      </c>
    </row>
    <row r="51" spans="1:2" x14ac:dyDescent="0.25">
      <c r="A51" s="3" t="s">
        <v>126</v>
      </c>
      <c r="B51" s="77" t="s">
        <v>127</v>
      </c>
    </row>
    <row r="52" spans="1:2" x14ac:dyDescent="0.25">
      <c r="A52" s="3" t="s">
        <v>128</v>
      </c>
      <c r="B52" s="77" t="s">
        <v>129</v>
      </c>
    </row>
    <row r="53" spans="1:2" x14ac:dyDescent="0.25">
      <c r="A53" s="3" t="s">
        <v>130</v>
      </c>
      <c r="B53" s="77" t="s">
        <v>131</v>
      </c>
    </row>
    <row r="54" spans="1:2" x14ac:dyDescent="0.25">
      <c r="A54" s="3" t="s">
        <v>132</v>
      </c>
      <c r="B54" s="77" t="s">
        <v>118</v>
      </c>
    </row>
    <row r="55" spans="1:2" x14ac:dyDescent="0.25">
      <c r="A55" s="3" t="s">
        <v>133</v>
      </c>
      <c r="B55" s="77" t="s">
        <v>181</v>
      </c>
    </row>
    <row r="56" spans="1:2" x14ac:dyDescent="0.25">
      <c r="A56" s="3" t="s">
        <v>134</v>
      </c>
      <c r="B56" s="77" t="s">
        <v>135</v>
      </c>
    </row>
    <row r="57" spans="1:2" x14ac:dyDescent="0.25">
      <c r="A57" s="3" t="s">
        <v>174</v>
      </c>
      <c r="B57" s="77" t="s">
        <v>123</v>
      </c>
    </row>
    <row r="58" spans="1:2" x14ac:dyDescent="0.25">
      <c r="A58" s="3" t="s">
        <v>136</v>
      </c>
      <c r="B58" s="77" t="s">
        <v>137</v>
      </c>
    </row>
    <row r="59" spans="1:2" x14ac:dyDescent="0.25">
      <c r="A59" s="3" t="s">
        <v>138</v>
      </c>
      <c r="B59" s="77" t="s">
        <v>139</v>
      </c>
    </row>
    <row r="60" spans="1:2" x14ac:dyDescent="0.25">
      <c r="A60" s="3" t="s">
        <v>140</v>
      </c>
      <c r="B60" s="77" t="s">
        <v>129</v>
      </c>
    </row>
    <row r="61" spans="1:2" x14ac:dyDescent="0.25">
      <c r="A61" s="3" t="s">
        <v>141</v>
      </c>
      <c r="B61" s="77" t="s">
        <v>143</v>
      </c>
    </row>
    <row r="62" spans="1:2" x14ac:dyDescent="0.25">
      <c r="A62" s="3" t="s">
        <v>175</v>
      </c>
      <c r="B62" s="77" t="s">
        <v>176</v>
      </c>
    </row>
    <row r="63" spans="1:2" x14ac:dyDescent="0.25">
      <c r="A63" s="3" t="s">
        <v>142</v>
      </c>
      <c r="B63" s="77" t="s">
        <v>178</v>
      </c>
    </row>
    <row r="64" spans="1:2" x14ac:dyDescent="0.25">
      <c r="A64" s="3" t="s">
        <v>144</v>
      </c>
      <c r="B64" s="77" t="s">
        <v>179</v>
      </c>
    </row>
    <row r="65" spans="1:2" x14ac:dyDescent="0.25">
      <c r="A65" s="3" t="s">
        <v>145</v>
      </c>
      <c r="B65" s="77" t="s">
        <v>146</v>
      </c>
    </row>
  </sheetData>
  <mergeCells count="3">
    <mergeCell ref="W6:AF6"/>
    <mergeCell ref="AH6:AO6"/>
    <mergeCell ref="AQ6:AX6"/>
  </mergeCells>
  <phoneticPr fontId="6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330D-0C14-4D88-BAC9-89117578F49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21st of month</vt:lpstr>
      <vt:lpstr>Sheet2</vt:lpstr>
      <vt:lpstr>T vs Weight WV</vt:lpstr>
      <vt:lpstr>T vs WV </vt:lpstr>
      <vt:lpstr>T vs HumRat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D</dc:creator>
  <cp:lastModifiedBy>H. Douglas Lightfoot</cp:lastModifiedBy>
  <cp:lastPrinted>2024-03-10T14:55:33Z</cp:lastPrinted>
  <dcterms:created xsi:type="dcterms:W3CDTF">2019-03-16T23:38:42Z</dcterms:created>
  <dcterms:modified xsi:type="dcterms:W3CDTF">2024-03-11T20:17:16Z</dcterms:modified>
</cp:coreProperties>
</file>